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drawings/drawing15.xml" ContentType="application/vnd.openxmlformats-officedocument.drawing+xml"/>
  <Override PartName="/xl/comments11.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comments12.xml" ContentType="application/vnd.openxmlformats-officedocument.spreadsheetml.comments+xml"/>
  <Override PartName="/xl/drawings/drawing18.xml" ContentType="application/vnd.openxmlformats-officedocument.drawing+xml"/>
  <Override PartName="/xl/comments13.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showInkAnnotation="0" codeName="EstaPasta_de_trabalho" autoCompressPictures="0" defaultThemeVersion="124226"/>
  <mc:AlternateContent xmlns:mc="http://schemas.openxmlformats.org/markup-compatibility/2006">
    <mc:Choice Requires="x15">
      <x15ac:absPath xmlns:x15ac="http://schemas.microsoft.com/office/spreadsheetml/2010/11/ac" url="https://d.docs.live.net/16e3b06e8d381cab/Documents/UFPR/Capes_print_ufpr/EULA/curso/material_apoio/servicios_ecosistemicos/"/>
    </mc:Choice>
  </mc:AlternateContent>
  <xr:revisionPtr revIDLastSave="0" documentId="8_{1CEEB900-D36F-4E5C-8358-C1D99FFEB75E}" xr6:coauthVersionLast="45" xr6:coauthVersionMax="45" xr10:uidLastSave="{00000000-0000-0000-0000-000000000000}"/>
  <bookViews>
    <workbookView xWindow="-108" yWindow="-108" windowWidth="23256" windowHeight="12720" tabRatio="879" activeTab="2" xr2:uid="{00000000-000D-0000-FFFF-FFFF00000000}"/>
  </bookViews>
  <sheets>
    <sheet name="Disclaimer" sheetId="37" r:id="rId1"/>
    <sheet name="Atualizações" sheetId="40" r:id="rId2"/>
    <sheet name="Orientações de Preenchimento" sheetId="14" r:id="rId3"/>
    <sheet name="Plano de Trabalho" sheetId="1" r:id="rId4"/>
    <sheet name="SE de Provisão" sheetId="38" r:id="rId5"/>
    <sheet name="Provisão de Água" sheetId="33" r:id="rId6"/>
    <sheet name="Provisão Biomassa Combustível" sheetId="16" r:id="rId7"/>
    <sheet name="Apoio_Provisão Biomassa Comb." sheetId="29" r:id="rId8"/>
    <sheet name="Regulação Qualidade da Água" sheetId="9" r:id="rId9"/>
    <sheet name="Apoio_Regulação Qualidade Água" sheetId="11" r:id="rId10"/>
    <sheet name="Assimilação Efluentes Líquido" sheetId="30" r:id="rId11"/>
    <sheet name="Apoio_Efluentes" sheetId="13" r:id="rId12"/>
    <sheet name="Regulação do clima global" sheetId="20" r:id="rId13"/>
    <sheet name="Apoio_Regulação do clima global" sheetId="21" r:id="rId14"/>
    <sheet name="Apoio" sheetId="22" state="hidden" r:id="rId15"/>
    <sheet name="Regulação de polinização" sheetId="27" r:id="rId16"/>
    <sheet name="Apoio Regulação de Polinização" sheetId="28" r:id="rId17"/>
    <sheet name="Regulação da Erosão do Solo" sheetId="35" r:id="rId18"/>
    <sheet name="Apoio_Regulação da Erosão" sheetId="34" r:id="rId19"/>
    <sheet name="Recreação e Turismo" sheetId="31" r:id="rId20"/>
    <sheet name="Resumo" sheetId="39" r:id="rId21"/>
    <sheet name="Plan1" sheetId="36" state="hidden" r:id="rId22"/>
  </sheets>
  <externalReferences>
    <externalReference r:id="rId23"/>
    <externalReference r:id="rId24"/>
    <externalReference r:id="rId25"/>
    <externalReference r:id="rId26"/>
    <externalReference r:id="rId27"/>
  </externalReferences>
  <definedNames>
    <definedName name="aasdfadsfasg">[1]Dados!$B$23:$B$25</definedName>
    <definedName name="adfasdfasg" localSheetId="1">#REF!</definedName>
    <definedName name="adfasdfasg" localSheetId="6">#REF!</definedName>
    <definedName name="adfasdfasg" localSheetId="5">#REF!</definedName>
    <definedName name="adfasdfasg" localSheetId="8">#REF!</definedName>
    <definedName name="adfasdfasg" localSheetId="20">#REF!</definedName>
    <definedName name="adfasdfasg">#REF!</definedName>
    <definedName name="adsfasdfsa" localSheetId="1">#REF!</definedName>
    <definedName name="adsfasdfsa" localSheetId="6">#REF!</definedName>
    <definedName name="adsfasdfsa" localSheetId="5">#REF!</definedName>
    <definedName name="adsfasdfsa" localSheetId="8">#REF!</definedName>
    <definedName name="adsfasdfsa" localSheetId="20">#REF!</definedName>
    <definedName name="adsfasdfsa">#REF!</definedName>
    <definedName name="adsfasdfsadfsadf" localSheetId="1">#REF!</definedName>
    <definedName name="adsfasdfsadfsadf" localSheetId="6">#REF!</definedName>
    <definedName name="adsfasdfsadfsadf" localSheetId="5">#REF!</definedName>
    <definedName name="adsfasdfsadfsadf" localSheetId="8">#REF!</definedName>
    <definedName name="adsfasdfsadfsadf" localSheetId="20">#REF!</definedName>
    <definedName name="adsfasdfsadfsadf">#REF!</definedName>
    <definedName name="adsfasfdasd" localSheetId="1">#REF!</definedName>
    <definedName name="adsfasfdasd" localSheetId="5">#REF!</definedName>
    <definedName name="adsfasfdasd" localSheetId="8">#REF!</definedName>
    <definedName name="adsfasfdasd" localSheetId="20">#REF!</definedName>
    <definedName name="adsfasfdasd">#REF!</definedName>
    <definedName name="adsfasgag" localSheetId="1">#REF!</definedName>
    <definedName name="adsfasgag" localSheetId="5">#REF!</definedName>
    <definedName name="adsfasgag" localSheetId="8">#REF!</definedName>
    <definedName name="adsfasgag" localSheetId="20">#REF!</definedName>
    <definedName name="adsfasgag">#REF!</definedName>
    <definedName name="adsfsadfa" localSheetId="1">#REF!</definedName>
    <definedName name="adsfsadfa" localSheetId="5">#REF!</definedName>
    <definedName name="adsfsadfa" localSheetId="8">#REF!</definedName>
    <definedName name="adsfsadfa" localSheetId="20">#REF!</definedName>
    <definedName name="adsfsadfa">#REF!</definedName>
    <definedName name="aewrwaerwae">[1]Dados!$B$15:$B$17</definedName>
    <definedName name="Amazônia">'Apoio_Regulação do clima global'!$B$15:$B$45</definedName>
    <definedName name="Ano">[2]Introdução!$E$24</definedName>
    <definedName name="aproveitamento" localSheetId="1">#REF!</definedName>
    <definedName name="aproveitamento" localSheetId="6">#REF!</definedName>
    <definedName name="aproveitamento" localSheetId="5">#REF!</definedName>
    <definedName name="aproveitamento" localSheetId="8">#REF!</definedName>
    <definedName name="aproveitamento" localSheetId="20">#REF!</definedName>
    <definedName name="aproveitamento">#REF!</definedName>
    <definedName name="aproveitamento1">'[3]Base de Dados'!$B$27:$B$30</definedName>
    <definedName name="aproveitamentoo" localSheetId="1">#REF!</definedName>
    <definedName name="aproveitamentoo" localSheetId="6">#REF!</definedName>
    <definedName name="aproveitamentoo" localSheetId="5">#REF!</definedName>
    <definedName name="aproveitamentoo" localSheetId="8">#REF!</definedName>
    <definedName name="aproveitamentoo" localSheetId="20">#REF!</definedName>
    <definedName name="aproveitamentoo">#REF!</definedName>
    <definedName name="Areaadensamento">'Regulação do clima global'!$J$20</definedName>
    <definedName name="Áreaenriquecimento">'Regulação do clima global'!$J$21</definedName>
    <definedName name="Areaisolamento">'Regulação do clima global'!$J$22</definedName>
    <definedName name="Areaplantiototal">'Regulação do clima global'!$J$19</definedName>
    <definedName name="asd" localSheetId="1">#REF!</definedName>
    <definedName name="asd" localSheetId="6">#REF!</definedName>
    <definedName name="asd" localSheetId="5">#REF!</definedName>
    <definedName name="asd" localSheetId="8">#REF!</definedName>
    <definedName name="asd" localSheetId="20">#REF!</definedName>
    <definedName name="asd">#REF!</definedName>
    <definedName name="asdfasdf" localSheetId="1">#REF!</definedName>
    <definedName name="asdfasdf" localSheetId="6">#REF!</definedName>
    <definedName name="asdfasdf" localSheetId="5">#REF!</definedName>
    <definedName name="asdfasdf" localSheetId="8">#REF!</definedName>
    <definedName name="asdfasdf" localSheetId="20">#REF!</definedName>
    <definedName name="asdfasdf">#REF!</definedName>
    <definedName name="asdfasdfa" localSheetId="1">#REF!</definedName>
    <definedName name="asdfasdfa" localSheetId="5">#REF!</definedName>
    <definedName name="asdfasdfa" localSheetId="8">#REF!</definedName>
    <definedName name="asdfasdfa" localSheetId="20">#REF!</definedName>
    <definedName name="asdfasdfa">#REF!</definedName>
    <definedName name="asdfsadfsadf" localSheetId="1">#REF!</definedName>
    <definedName name="asdfsadfsadf" localSheetId="5">#REF!</definedName>
    <definedName name="asdfsadfsadf" localSheetId="8">#REF!</definedName>
    <definedName name="asdfsadfsadf" localSheetId="20">#REF!</definedName>
    <definedName name="asdfsadfsadf">#REF!</definedName>
    <definedName name="asfasdfasgw">[1]Dados!$B$19:$B$21</definedName>
    <definedName name="asgaewgawe" localSheetId="1">[1]Dados!#REF!</definedName>
    <definedName name="asgaewgawe" localSheetId="6">[1]Dados!#REF!</definedName>
    <definedName name="asgaewgawe" localSheetId="5">[1]Dados!#REF!</definedName>
    <definedName name="asgaewgawe" localSheetId="8">[1]Dados!#REF!</definedName>
    <definedName name="asgaewgawe" localSheetId="20">[1]Dados!#REF!</definedName>
    <definedName name="asgaewgawe">[1]Dados!#REF!</definedName>
    <definedName name="awefas" localSheetId="1">#REF!</definedName>
    <definedName name="awefas" localSheetId="6">#REF!</definedName>
    <definedName name="awefas" localSheetId="5">#REF!</definedName>
    <definedName name="awefas" localSheetId="8">#REF!</definedName>
    <definedName name="awefas" localSheetId="20">#REF!</definedName>
    <definedName name="awefas">#REF!</definedName>
    <definedName name="bioma150" localSheetId="1">#REF!</definedName>
    <definedName name="bioma150" localSheetId="5">#REF!</definedName>
    <definedName name="bioma150" localSheetId="20">#REF!</definedName>
    <definedName name="bioma150">#REF!</definedName>
    <definedName name="Biomas" localSheetId="14">'[4]Base de dados'!#REF!</definedName>
    <definedName name="Biomas" localSheetId="6">#REF!</definedName>
    <definedName name="Biomas" localSheetId="8">#REF!</definedName>
    <definedName name="biomas">'Apoio_Regulação do clima global'!$B$263:$B$269</definedName>
    <definedName name="biomas1" localSheetId="14">'[4]Base de dados'!#REF!</definedName>
    <definedName name="biomas1" localSheetId="1">#REF!</definedName>
    <definedName name="biomas1" localSheetId="6">#REF!</definedName>
    <definedName name="biomas1" localSheetId="5">#REF!</definedName>
    <definedName name="biomas1" localSheetId="8">#REF!</definedName>
    <definedName name="biomas1" localSheetId="20">#REF!</definedName>
    <definedName name="biomas1">#REF!</definedName>
    <definedName name="biomas10" localSheetId="1">#REF!</definedName>
    <definedName name="biomas10" localSheetId="5">#REF!</definedName>
    <definedName name="biomas10" localSheetId="8">#REF!</definedName>
    <definedName name="biomas10" localSheetId="20">#REF!</definedName>
    <definedName name="biomas10">#REF!</definedName>
    <definedName name="biomas100" localSheetId="1">#REF!</definedName>
    <definedName name="biomas100" localSheetId="5">#REF!</definedName>
    <definedName name="biomas100" localSheetId="8">#REF!</definedName>
    <definedName name="biomas100" localSheetId="20">#REF!</definedName>
    <definedName name="biomas100">#REF!</definedName>
    <definedName name="biomas101" localSheetId="1">#REF!</definedName>
    <definedName name="biomas101" localSheetId="5">#REF!</definedName>
    <definedName name="biomas101" localSheetId="8">#REF!</definedName>
    <definedName name="biomas101" localSheetId="20">#REF!</definedName>
    <definedName name="biomas101">#REF!</definedName>
    <definedName name="biomas102" localSheetId="1">#REF!</definedName>
    <definedName name="biomas102" localSheetId="5">#REF!</definedName>
    <definedName name="biomas102" localSheetId="8">#REF!</definedName>
    <definedName name="biomas102" localSheetId="20">#REF!</definedName>
    <definedName name="biomas102">#REF!</definedName>
    <definedName name="biomas16" localSheetId="1">#REF!</definedName>
    <definedName name="biomas16" localSheetId="5">#REF!</definedName>
    <definedName name="biomas16" localSheetId="8">#REF!</definedName>
    <definedName name="biomas16" localSheetId="20">#REF!</definedName>
    <definedName name="biomas16">#REF!</definedName>
    <definedName name="biomas17" localSheetId="1">#REF!</definedName>
    <definedName name="biomas17" localSheetId="5">#REF!</definedName>
    <definedName name="biomas17" localSheetId="8">#REF!</definedName>
    <definedName name="biomas17" localSheetId="20">#REF!</definedName>
    <definedName name="biomas17">#REF!</definedName>
    <definedName name="Biomas2" localSheetId="14">'[4]Base de dados'!#REF!</definedName>
    <definedName name="Biomas2" localSheetId="1">#REF!</definedName>
    <definedName name="Biomas2" localSheetId="5">#REF!</definedName>
    <definedName name="Biomas2" localSheetId="8">#REF!</definedName>
    <definedName name="Biomas2" localSheetId="20">#REF!</definedName>
    <definedName name="Biomas2">#REF!</definedName>
    <definedName name="biomas20" localSheetId="8">#REF!</definedName>
    <definedName name="biomas3" localSheetId="1">#REF!</definedName>
    <definedName name="biomas3" localSheetId="5">#REF!</definedName>
    <definedName name="biomas3" localSheetId="8">#REF!</definedName>
    <definedName name="biomas3" localSheetId="20">#REF!</definedName>
    <definedName name="biomas3">#REF!</definedName>
    <definedName name="biomas33" localSheetId="1">#REF!</definedName>
    <definedName name="biomas33" localSheetId="5">#REF!</definedName>
    <definedName name="biomas33" localSheetId="8">#REF!</definedName>
    <definedName name="biomas33" localSheetId="20">#REF!</definedName>
    <definedName name="biomas33">#REF!</definedName>
    <definedName name="biomas34" localSheetId="1">#REF!</definedName>
    <definedName name="biomas34" localSheetId="5">#REF!</definedName>
    <definedName name="biomas34" localSheetId="8">#REF!</definedName>
    <definedName name="biomas34" localSheetId="20">#REF!</definedName>
    <definedName name="biomas34">#REF!</definedName>
    <definedName name="biomas4" localSheetId="1">#REF!</definedName>
    <definedName name="biomas4" localSheetId="5">#REF!</definedName>
    <definedName name="biomas4" localSheetId="8">#REF!</definedName>
    <definedName name="biomas4" localSheetId="20">#REF!</definedName>
    <definedName name="biomas4">#REF!</definedName>
    <definedName name="biomas5" localSheetId="1">#REF!</definedName>
    <definedName name="biomas5" localSheetId="5">#REF!</definedName>
    <definedName name="biomas5" localSheetId="8">#REF!</definedName>
    <definedName name="biomas5" localSheetId="20">#REF!</definedName>
    <definedName name="biomas5">#REF!</definedName>
    <definedName name="biomas6" localSheetId="1">#REF!</definedName>
    <definedName name="biomas6" localSheetId="5">#REF!</definedName>
    <definedName name="biomas6" localSheetId="8">#REF!</definedName>
    <definedName name="biomas6" localSheetId="20">#REF!</definedName>
    <definedName name="biomas6">#REF!</definedName>
    <definedName name="biomas9" localSheetId="1">#REF!</definedName>
    <definedName name="biomas9" localSheetId="5">#REF!</definedName>
    <definedName name="biomas9" localSheetId="8">#REF!</definedName>
    <definedName name="biomas9" localSheetId="20">#REF!</definedName>
    <definedName name="biomas9">#REF!</definedName>
    <definedName name="biomsa34" localSheetId="1">#REF!</definedName>
    <definedName name="biomsa34" localSheetId="5">#REF!</definedName>
    <definedName name="biomsa34" localSheetId="8">#REF!</definedName>
    <definedName name="biomsa34" localSheetId="20">#REF!</definedName>
    <definedName name="biomsa34">#REF!</definedName>
    <definedName name="Caatinga">'Apoio_Regulação do clima global'!$B$48:$B$72</definedName>
    <definedName name="Cerrado">'Apoio_Regulação do clima global'!$B$75:$B$113</definedName>
    <definedName name="consumoenergia" localSheetId="1">#REF!</definedName>
    <definedName name="consumoenergia" localSheetId="5">#REF!</definedName>
    <definedName name="consumoenergia" localSheetId="8">#REF!</definedName>
    <definedName name="consumoenergia" localSheetId="20">#REF!</definedName>
    <definedName name="consumoenergia">#REF!</definedName>
    <definedName name="contas_CM_col_CH4_bioc">'[2]Combustão móvel'!$BA$50:$BA$134</definedName>
    <definedName name="contas_CM_col_CH4_fossil">'[2]Combustão móvel'!$AO$50:$AO$134</definedName>
    <definedName name="contas_CM_col_CO2_bioc">'[2]Combustão móvel'!$AY$50:$AY$134</definedName>
    <definedName name="contas_CM_col_CO2_fossil">'[2]Combustão móvel'!$AM$50:$AM$134</definedName>
    <definedName name="contas_CM_col_N2O_bioc">'[2]Combustão móvel'!$BC$50:$BC$134</definedName>
    <definedName name="contas_CM_col_N2O_fossil">'[2]Combustão móvel'!$AQ$50:$AQ$134</definedName>
    <definedName name="contas_CM_intervalo">'[2]Combustão móvel'!$AF$50:$BC$134</definedName>
    <definedName name="contas_TeD_Down_col_CH4_bioc">'[2]Transp&amp;Distribuição(Downstream)'!$BA$52:$BA$136</definedName>
    <definedName name="contas_TeD_Down_col_CH4_fossil">'[2]Transp&amp;Distribuição(Downstream)'!$AO$52:$AO$136</definedName>
    <definedName name="contas_TeD_Down_col_CO2_bioc">'[2]Transp&amp;Distribuição(Downstream)'!$AY$52:$AY$136</definedName>
    <definedName name="contas_TeD_Down_col_CO2_fossil">'[2]Transp&amp;Distribuição(Downstream)'!$AM$52:$AM$136</definedName>
    <definedName name="contas_TeD_Down_col_N2O_bioc">'[2]Transp&amp;Distribuição(Downstream)'!$BC$52:$BC$136</definedName>
    <definedName name="contas_TeD_Down_col_N2O_fossil">'[2]Transp&amp;Distribuição(Downstream)'!$AQ$52:$AQ$136</definedName>
    <definedName name="contas_TeD_Down_intervalo">'[2]Transp&amp;Distribuição(Downstream)'!$AF$52:$BC$136</definedName>
    <definedName name="contas_TeD_Up_col_CH4_bioc">'[2]Transp.&amp; Distribuição(Upstream)'!$BA$53:$BA$137</definedName>
    <definedName name="contas_TeD_Up_col_CH4_fossil">'[2]Transp.&amp; Distribuição(Upstream)'!$AO$53:$AO$137</definedName>
    <definedName name="contas_TeD_Up_col_CO2_bioc">'[2]Transp.&amp; Distribuição(Upstream)'!$AY$53:$AY$137</definedName>
    <definedName name="contas_TeD_Up_col_CO2_fossil">'[2]Transp.&amp; Distribuição(Upstream)'!$AM$53:$AM$137</definedName>
    <definedName name="contas_TeD_Up_col_N2O_bioc">'[2]Transp.&amp; Distribuição(Upstream)'!$BC$53:$BC$137</definedName>
    <definedName name="contas_TeD_Up_col_N2O_fossil">'[2]Transp.&amp; Distribuição(Upstream)'!$AQ$53:$AQ$137</definedName>
    <definedName name="contas_TeD_Up_intervalo">'[2]Transp.&amp; Distribuição(Upstream)'!$AF$53:$BC$137</definedName>
    <definedName name="dafdsfasf">'[5]Atividades agrícolas'!$AE$96:$AE$102</definedName>
    <definedName name="default" localSheetId="1">#REF!</definedName>
    <definedName name="default" localSheetId="6">#REF!</definedName>
    <definedName name="default" localSheetId="5">#REF!</definedName>
    <definedName name="default" localSheetId="8">#REF!</definedName>
    <definedName name="default" localSheetId="20">#REF!</definedName>
    <definedName name="default">#REF!</definedName>
    <definedName name="default5" localSheetId="1">#REF!</definedName>
    <definedName name="default5" localSheetId="6">#REF!</definedName>
    <definedName name="default5" localSheetId="5">#REF!</definedName>
    <definedName name="default5" localSheetId="8">#REF!</definedName>
    <definedName name="default5" localSheetId="20">#REF!</definedName>
    <definedName name="default5">#REF!</definedName>
    <definedName name="Efluente">Apoio_Efluentes!$A$16:$A$56</definedName>
    <definedName name="empresa">'Plano de Trabalho'!$C$12</definedName>
    <definedName name="energia" localSheetId="1">#REF!</definedName>
    <definedName name="energia" localSheetId="6">#REF!</definedName>
    <definedName name="energia" localSheetId="5">#REF!</definedName>
    <definedName name="energia" localSheetId="8">#REF!</definedName>
    <definedName name="energia" localSheetId="20">#REF!</definedName>
    <definedName name="energia">#REF!</definedName>
    <definedName name="epipee" localSheetId="1">#REF!</definedName>
    <definedName name="epipee" localSheetId="5">#REF!</definedName>
    <definedName name="epipee" localSheetId="8">#REF!</definedName>
    <definedName name="epipee" localSheetId="20">#REF!</definedName>
    <definedName name="epipee">#REF!</definedName>
    <definedName name="equip" localSheetId="1">#REF!</definedName>
    <definedName name="equip" localSheetId="5">#REF!</definedName>
    <definedName name="equip" localSheetId="8">#REF!</definedName>
    <definedName name="equip" localSheetId="20">#REF!</definedName>
    <definedName name="equip">#REF!</definedName>
    <definedName name="equip11" localSheetId="1">#REF!</definedName>
    <definedName name="equip11" localSheetId="5">#REF!</definedName>
    <definedName name="equip11" localSheetId="8">#REF!</definedName>
    <definedName name="equip11" localSheetId="20">#REF!</definedName>
    <definedName name="equip11">#REF!</definedName>
    <definedName name="equip9" localSheetId="1">#REF!</definedName>
    <definedName name="equip9" localSheetId="5">#REF!</definedName>
    <definedName name="equip9" localSheetId="8">#REF!</definedName>
    <definedName name="equip9" localSheetId="20">#REF!</definedName>
    <definedName name="equip9">#REF!</definedName>
    <definedName name="equiper" localSheetId="1">#REF!</definedName>
    <definedName name="equiper" localSheetId="5">#REF!</definedName>
    <definedName name="equiper" localSheetId="8">#REF!</definedName>
    <definedName name="equiper" localSheetId="20">#REF!</definedName>
    <definedName name="equiper">#REF!</definedName>
    <definedName name="fama" localSheetId="8">#REF!</definedName>
    <definedName name="famazonia" localSheetId="1">#REF!</definedName>
    <definedName name="famazonia" localSheetId="5">#REF!</definedName>
    <definedName name="famazonia" localSheetId="8">#REF!</definedName>
    <definedName name="famazonia" localSheetId="20">#REF!</definedName>
    <definedName name="famazonia">#REF!</definedName>
    <definedName name="FatorEqPC">'Apoio_Provisão Biomassa Comb.'!$E$74</definedName>
    <definedName name="fcaa" localSheetId="8">#REF!</definedName>
    <definedName name="fcaa">'Regulação do clima global'!$C$159:$C$181</definedName>
    <definedName name="fcaatinga" localSheetId="1">#REF!</definedName>
    <definedName name="fcaatinga" localSheetId="5">#REF!</definedName>
    <definedName name="fcaatinga" localSheetId="8">#REF!</definedName>
    <definedName name="fcaatinga" localSheetId="20">#REF!</definedName>
    <definedName name="fcaatinga">#REF!</definedName>
    <definedName name="fcerr" localSheetId="8">#REF!</definedName>
    <definedName name="fcerrado" localSheetId="1">#REF!</definedName>
    <definedName name="fcerrado" localSheetId="5">#REF!</definedName>
    <definedName name="fcerrado" localSheetId="8">#REF!</definedName>
    <definedName name="fcerrado" localSheetId="20">#REF!</definedName>
    <definedName name="fcerrado">#REF!</definedName>
    <definedName name="fiarsim4" localSheetId="1">#REF!</definedName>
    <definedName name="fiarsim4" localSheetId="5">#REF!</definedName>
    <definedName name="fiarsim4" localSheetId="8">#REF!</definedName>
    <definedName name="fiarsim4" localSheetId="20">#REF!</definedName>
    <definedName name="fiarsim4">#REF!</definedName>
    <definedName name="fitacaatinga4" localSheetId="1">#REF!</definedName>
    <definedName name="fitacaatinga4" localSheetId="6">#REF!</definedName>
    <definedName name="fitacaatinga4" localSheetId="5">#REF!</definedName>
    <definedName name="fitacaatinga4" localSheetId="8">#REF!</definedName>
    <definedName name="fitacaatinga4" localSheetId="20">#REF!</definedName>
    <definedName name="fitacaatinga4">#REF!</definedName>
    <definedName name="fitacerrado4" localSheetId="1">#REF!</definedName>
    <definedName name="fitacerrado4" localSheetId="5">#REF!</definedName>
    <definedName name="fitacerrado4" localSheetId="8">#REF!</definedName>
    <definedName name="fitacerrado4" localSheetId="20">#REF!</definedName>
    <definedName name="fitacerrado4">#REF!</definedName>
    <definedName name="fitoamazonia" localSheetId="14">'[4]Base de dados'!$B$15:$B$45</definedName>
    <definedName name="fitoamazonia" localSheetId="1">#REF!</definedName>
    <definedName name="fitoamazonia" localSheetId="5">#REF!</definedName>
    <definedName name="fitoamazonia" localSheetId="8">#REF!</definedName>
    <definedName name="fitoamazonia" localSheetId="20">#REF!</definedName>
    <definedName name="fitoamazonia">#REF!</definedName>
    <definedName name="fitoamazonia1" localSheetId="1">#REF!</definedName>
    <definedName name="fitoamazonia1" localSheetId="5">#REF!</definedName>
    <definedName name="fitoamazonia1" localSheetId="8">#REF!</definedName>
    <definedName name="fitoamazonia1" localSheetId="20">#REF!</definedName>
    <definedName name="fitoamazonia1">#REF!</definedName>
    <definedName name="fitoamazonia54" localSheetId="1">#REF!</definedName>
    <definedName name="fitoamazonia54" localSheetId="5">#REF!</definedName>
    <definedName name="fitoamazonia54" localSheetId="8">#REF!</definedName>
    <definedName name="fitoamazonia54" localSheetId="20">#REF!</definedName>
    <definedName name="fitoamazonia54">#REF!</definedName>
    <definedName name="fitocaatinga" localSheetId="14">'[4]Base de dados'!#REF!</definedName>
    <definedName name="fitocaatinga" localSheetId="1">#REF!</definedName>
    <definedName name="fitocaatinga" localSheetId="5">#REF!</definedName>
    <definedName name="fitocaatinga" localSheetId="8">#REF!</definedName>
    <definedName name="fitocaatinga" localSheetId="20">#REF!</definedName>
    <definedName name="fitocaatinga">#REF!</definedName>
    <definedName name="fitocaatinga3" localSheetId="1">#REF!</definedName>
    <definedName name="fitocaatinga3" localSheetId="5">#REF!</definedName>
    <definedName name="fitocaatinga3" localSheetId="8">#REF!</definedName>
    <definedName name="fitocaatinga3" localSheetId="20">#REF!</definedName>
    <definedName name="fitocaatinga3">#REF!</definedName>
    <definedName name="fitocarredo56" localSheetId="1">#REF!</definedName>
    <definedName name="fitocarredo56" localSheetId="5">#REF!</definedName>
    <definedName name="fitocarredo56" localSheetId="8">#REF!</definedName>
    <definedName name="fitocarredo56" localSheetId="20">#REF!</definedName>
    <definedName name="fitocarredo56">#REF!</definedName>
    <definedName name="fitocatinga45" localSheetId="1">#REF!</definedName>
    <definedName name="fitocatinga45" localSheetId="5">#REF!</definedName>
    <definedName name="fitocatinga45" localSheetId="8">#REF!</definedName>
    <definedName name="fitocatinga45" localSheetId="20">#REF!</definedName>
    <definedName name="fitocatinga45">#REF!</definedName>
    <definedName name="fitocerrado" localSheetId="14">'[4]Base de dados'!#REF!</definedName>
    <definedName name="fitocerrado" localSheetId="1">#REF!</definedName>
    <definedName name="fitocerrado" localSheetId="5">#REF!</definedName>
    <definedName name="fitocerrado" localSheetId="8">#REF!</definedName>
    <definedName name="fitocerrado" localSheetId="20">#REF!</definedName>
    <definedName name="fitocerrado">#REF!</definedName>
    <definedName name="fitocerrado2" localSheetId="1">#REF!</definedName>
    <definedName name="fitocerrado2" localSheetId="5">#REF!</definedName>
    <definedName name="fitocerrado2" localSheetId="8">#REF!</definedName>
    <definedName name="fitocerrado2" localSheetId="20">#REF!</definedName>
    <definedName name="fitocerrado2">#REF!</definedName>
    <definedName name="fitomata" localSheetId="1">#REF!</definedName>
    <definedName name="fitomata" localSheetId="5">#REF!</definedName>
    <definedName name="fitomata" localSheetId="8">#REF!</definedName>
    <definedName name="fitomata" localSheetId="20">#REF!</definedName>
    <definedName name="fitomata">#REF!</definedName>
    <definedName name="fitomata1" localSheetId="1">#REF!</definedName>
    <definedName name="fitomata1" localSheetId="5">#REF!</definedName>
    <definedName name="fitomata1" localSheetId="8">#REF!</definedName>
    <definedName name="fitomata1" localSheetId="20">#REF!</definedName>
    <definedName name="fitomata1">#REF!</definedName>
    <definedName name="fitomataatlanticaa" localSheetId="1">#REF!</definedName>
    <definedName name="fitomataatlanticaa" localSheetId="5">#REF!</definedName>
    <definedName name="fitomataatlanticaa" localSheetId="8">#REF!</definedName>
    <definedName name="fitomataatlanticaa" localSheetId="20">#REF!</definedName>
    <definedName name="fitomataatlanticaa">#REF!</definedName>
    <definedName name="fitomatlantica" localSheetId="14">'[4]Base de dados'!#REF!</definedName>
    <definedName name="fitomatlantica" localSheetId="1">#REF!</definedName>
    <definedName name="fitomatlantica" localSheetId="5">#REF!</definedName>
    <definedName name="fitomatlantica" localSheetId="8">#REF!</definedName>
    <definedName name="fitomatlantica" localSheetId="20">#REF!</definedName>
    <definedName name="fitomatlantica">#REF!</definedName>
    <definedName name="fitomatlantica45" localSheetId="1">#REF!</definedName>
    <definedName name="fitomatlantica45" localSheetId="5">#REF!</definedName>
    <definedName name="fitomatlantica45" localSheetId="8">#REF!</definedName>
    <definedName name="fitomatlantica45" localSheetId="20">#REF!</definedName>
    <definedName name="fitomatlantica45">#REF!</definedName>
    <definedName name="fitomatrantica1" localSheetId="8">#REF!</definedName>
    <definedName name="fitopamapa4" localSheetId="1">#REF!</definedName>
    <definedName name="fitopamapa4" localSheetId="5">#REF!</definedName>
    <definedName name="fitopamapa4" localSheetId="8">#REF!</definedName>
    <definedName name="fitopamapa4" localSheetId="20">#REF!</definedName>
    <definedName name="fitopamapa4">#REF!</definedName>
    <definedName name="fitopampa" localSheetId="14">'[4]Base de dados'!#REF!</definedName>
    <definedName name="fitopampa" localSheetId="1">#REF!</definedName>
    <definedName name="fitopampa" localSheetId="5">#REF!</definedName>
    <definedName name="fitopampa" localSheetId="8">#REF!</definedName>
    <definedName name="fitopampa" localSheetId="20">#REF!</definedName>
    <definedName name="fitopampa">#REF!</definedName>
    <definedName name="fitopampa2" localSheetId="8">#REF!</definedName>
    <definedName name="fitopampa21" localSheetId="1">#REF!</definedName>
    <definedName name="fitopampa21" localSheetId="5">#REF!</definedName>
    <definedName name="fitopampa21" localSheetId="8">#REF!</definedName>
    <definedName name="fitopampa21" localSheetId="20">#REF!</definedName>
    <definedName name="fitopampa21">#REF!</definedName>
    <definedName name="fitopampa4" localSheetId="1">#REF!</definedName>
    <definedName name="fitopampa4" localSheetId="5">#REF!</definedName>
    <definedName name="fitopampa4" localSheetId="8">#REF!</definedName>
    <definedName name="fitopampa4" localSheetId="20">#REF!</definedName>
    <definedName name="fitopampa4">#REF!</definedName>
    <definedName name="fitopanta" localSheetId="1">#REF!</definedName>
    <definedName name="fitopanta" localSheetId="5">#REF!</definedName>
    <definedName name="fitopanta" localSheetId="8">#REF!</definedName>
    <definedName name="fitopanta" localSheetId="20">#REF!</definedName>
    <definedName name="fitopanta">#REF!</definedName>
    <definedName name="fitopantabal89" localSheetId="1">#REF!</definedName>
    <definedName name="fitopantabal89" localSheetId="5">#REF!</definedName>
    <definedName name="fitopantabal89" localSheetId="8">#REF!</definedName>
    <definedName name="fitopantabal89" localSheetId="20">#REF!</definedName>
    <definedName name="fitopantabal89">#REF!</definedName>
    <definedName name="fitopantanal" localSheetId="14">'[4]Base de dados'!#REF!</definedName>
    <definedName name="fitopantanal" localSheetId="1">#REF!</definedName>
    <definedName name="fitopantanal" localSheetId="5">#REF!</definedName>
    <definedName name="fitopantanal" localSheetId="20">#REF!</definedName>
    <definedName name="fitopantanal">#REF!</definedName>
    <definedName name="fitopantanal4" localSheetId="1">#REF!</definedName>
    <definedName name="fitopantanal4" localSheetId="5">#REF!</definedName>
    <definedName name="fitopantanal4" localSheetId="8">#REF!</definedName>
    <definedName name="fitopantanal4" localSheetId="20">#REF!</definedName>
    <definedName name="fitopantanal4">#REF!</definedName>
    <definedName name="flair" localSheetId="1">#REF!</definedName>
    <definedName name="flair" localSheetId="5">#REF!</definedName>
    <definedName name="flair" localSheetId="8">#REF!</definedName>
    <definedName name="flair" localSheetId="20">#REF!</definedName>
    <definedName name="flair">#REF!</definedName>
    <definedName name="flair1" localSheetId="1">#REF!</definedName>
    <definedName name="flair1" localSheetId="5">#REF!</definedName>
    <definedName name="flair1" localSheetId="8">#REF!</definedName>
    <definedName name="flair1" localSheetId="20">#REF!</definedName>
    <definedName name="flair1">#REF!</definedName>
    <definedName name="flair10" localSheetId="1">#REF!</definedName>
    <definedName name="flair10" localSheetId="5">#REF!</definedName>
    <definedName name="flair10" localSheetId="8">#REF!</definedName>
    <definedName name="flair10" localSheetId="20">#REF!</definedName>
    <definedName name="flair10">#REF!</definedName>
    <definedName name="flair2" localSheetId="1">#REF!</definedName>
    <definedName name="flair2" localSheetId="5">#REF!</definedName>
    <definedName name="flair2" localSheetId="8">#REF!</definedName>
    <definedName name="flair2" localSheetId="20">#REF!</definedName>
    <definedName name="flair2">#REF!</definedName>
    <definedName name="flair4" localSheetId="1">#REF!</definedName>
    <definedName name="flair4" localSheetId="5">#REF!</definedName>
    <definedName name="flair4" localSheetId="8">#REF!</definedName>
    <definedName name="flair4" localSheetId="20">#REF!</definedName>
    <definedName name="flair4">#REF!</definedName>
    <definedName name="flair6" localSheetId="1">#REF!</definedName>
    <definedName name="flair6" localSheetId="5">#REF!</definedName>
    <definedName name="flair6" localSheetId="8">#REF!</definedName>
    <definedName name="flair6" localSheetId="20">#REF!</definedName>
    <definedName name="flair6">#REF!</definedName>
    <definedName name="flair7" localSheetId="1">#REF!</definedName>
    <definedName name="flair7" localSheetId="5">#REF!</definedName>
    <definedName name="flair7" localSheetId="8">#REF!</definedName>
    <definedName name="flair7" localSheetId="20">#REF!</definedName>
    <definedName name="flair7">#REF!</definedName>
    <definedName name="flair9" localSheetId="1">#REF!</definedName>
    <definedName name="flair9" localSheetId="5">#REF!</definedName>
    <definedName name="flair9" localSheetId="8">#REF!</definedName>
    <definedName name="flair9" localSheetId="20">#REF!</definedName>
    <definedName name="flair9">#REF!</definedName>
    <definedName name="flairsim" localSheetId="1">#REF!</definedName>
    <definedName name="flairsim" localSheetId="5">#REF!</definedName>
    <definedName name="flairsim" localSheetId="8">#REF!</definedName>
    <definedName name="flairsim" localSheetId="20">#REF!</definedName>
    <definedName name="flairsim">#REF!</definedName>
    <definedName name="flairsim11" localSheetId="1">#REF!</definedName>
    <definedName name="flairsim11" localSheetId="5">#REF!</definedName>
    <definedName name="flairsim11" localSheetId="8">#REF!</definedName>
    <definedName name="flairsim11" localSheetId="20">#REF!</definedName>
    <definedName name="flairsim11">#REF!</definedName>
    <definedName name="flairsim7" localSheetId="1">#REF!</definedName>
    <definedName name="flairsim7" localSheetId="5">#REF!</definedName>
    <definedName name="flairsim7" localSheetId="8">#REF!</definedName>
    <definedName name="flairsim7" localSheetId="20">#REF!</definedName>
    <definedName name="flairsim7">#REF!</definedName>
    <definedName name="fmataa" localSheetId="1">#REF!</definedName>
    <definedName name="fmataa" localSheetId="5">#REF!</definedName>
    <definedName name="fmataa" localSheetId="8">#REF!</definedName>
    <definedName name="fmataa" localSheetId="20">#REF!</definedName>
    <definedName name="fmataa">#REF!</definedName>
    <definedName name="fmatlantica" localSheetId="1">#REF!</definedName>
    <definedName name="fmatlantica" localSheetId="5">#REF!</definedName>
    <definedName name="fmatlantica" localSheetId="8">#REF!</definedName>
    <definedName name="fmatlantica" localSheetId="20">#REF!</definedName>
    <definedName name="fmatlantica">#REF!</definedName>
    <definedName name="fmt" localSheetId="1">#REF!</definedName>
    <definedName name="fmt" localSheetId="5">#REF!</definedName>
    <definedName name="fmt" localSheetId="8">#REF!</definedName>
    <definedName name="fmt" localSheetId="20">#REF!</definedName>
    <definedName name="fmt">#REF!</definedName>
    <definedName name="fpampa" localSheetId="1">#REF!</definedName>
    <definedName name="fpampa" localSheetId="5">#REF!</definedName>
    <definedName name="fpampa" localSheetId="8">#REF!</definedName>
    <definedName name="fpampa" localSheetId="20">#REF!</definedName>
    <definedName name="fpampa">#REF!</definedName>
    <definedName name="fpan" localSheetId="1">#REF!</definedName>
    <definedName name="fpan" localSheetId="5">#REF!</definedName>
    <definedName name="fpan" localSheetId="8">#REF!</definedName>
    <definedName name="fpan" localSheetId="20">#REF!</definedName>
    <definedName name="fpan">#REF!</definedName>
    <definedName name="fpantanal" localSheetId="1">#REF!</definedName>
    <definedName name="fpantanal" localSheetId="5">#REF!</definedName>
    <definedName name="fpantanal" localSheetId="8">#REF!</definedName>
    <definedName name="fpantanal" localSheetId="20">#REF!</definedName>
    <definedName name="fpantanal">#REF!</definedName>
    <definedName name="ftoamazonia3" localSheetId="1">#REF!</definedName>
    <definedName name="ftoamazonia3" localSheetId="5">#REF!</definedName>
    <definedName name="ftoamazonia3" localSheetId="8">#REF!</definedName>
    <definedName name="ftoamazonia3" localSheetId="20">#REF!</definedName>
    <definedName name="ftoamazonia3">#REF!</definedName>
    <definedName name="gwp_CH4">'[2]Fatores de Emissão'!$E$215</definedName>
    <definedName name="GWP_CH4NEW" localSheetId="1">#REF!</definedName>
    <definedName name="GWP_CH4NEW" localSheetId="6">#REF!</definedName>
    <definedName name="GWP_CH4NEW" localSheetId="5">#REF!</definedName>
    <definedName name="GWP_CH4NEW" localSheetId="8">#REF!</definedName>
    <definedName name="GWP_CH4NEW" localSheetId="20">#REF!</definedName>
    <definedName name="GWP_CH4NEW">#REF!</definedName>
    <definedName name="gwp_CO2">'[2]Fatores de Emissão'!$E$214</definedName>
    <definedName name="gwp_N2O">'[2]Fatores de Emissão'!$E$216</definedName>
    <definedName name="gwp_SF6">'[2]Fatores de Emissão'!$E$286</definedName>
    <definedName name="hoiuhasf" localSheetId="1">#REF!</definedName>
    <definedName name="hoiuhasf" localSheetId="6">#REF!</definedName>
    <definedName name="hoiuhasf" localSheetId="5">#REF!</definedName>
    <definedName name="hoiuhasf" localSheetId="8">#REF!</definedName>
    <definedName name="hoiuhasf" localSheetId="20">#REF!</definedName>
    <definedName name="hoiuhasf">#REF!</definedName>
    <definedName name="indice_ano_frota_CH4">'[2]Fatores de Emissão'!$AF$137:$BB$138</definedName>
    <definedName name="indice_ano_frota_CO2">'[2]Fatores de Emissão'!$I$137:$AE$138</definedName>
    <definedName name="indice_ano_frota_consumo_medio">'[2]Fatores de Emissão'!$E$176:$AA$177</definedName>
    <definedName name="indice_ano_frota_N2O">'[2]Fatores de Emissão'!$BC$137:$BY$138</definedName>
    <definedName name="lista_ano">[2]Listas!$B$2:$B$9</definedName>
    <definedName name="lista_comb">[2]Listas!$F$3:$F$57</definedName>
    <definedName name="lista_gases">'[2]Fatores de Emissão'!$C$214:$C$286</definedName>
    <definedName name="lista_setor">[2]Listas!$D$2:$D$6</definedName>
    <definedName name="MAtlântica">'Apoio_Regulação do clima global'!$B$116:$B$153</definedName>
    <definedName name="n12312414" localSheetId="1">#REF!</definedName>
    <definedName name="n12312414" localSheetId="6">#REF!</definedName>
    <definedName name="n12312414" localSheetId="5">#REF!</definedName>
    <definedName name="n12312414" localSheetId="8">#REF!</definedName>
    <definedName name="n12312414" localSheetId="20">#REF!</definedName>
    <definedName name="n12312414">#REF!</definedName>
    <definedName name="nadsfsadfsadfsadfsa" localSheetId="1">#REF!</definedName>
    <definedName name="nadsfsadfsadfsadfsa" localSheetId="6">#REF!</definedName>
    <definedName name="nadsfsadfsadfsadfsa" localSheetId="5">#REF!</definedName>
    <definedName name="nadsfsadfsadfsadfsa" localSheetId="8">#REF!</definedName>
    <definedName name="nadsfsadfsadfsadfsa" localSheetId="20">#REF!</definedName>
    <definedName name="nadsfsadfsadfsadfsa">#REF!</definedName>
    <definedName name="nome_biodiesel">'[2]Fatores de Emissão'!$C$129</definedName>
    <definedName name="nome_compostos">'[2]Emissões fugitivas'!$AA$228</definedName>
    <definedName name="nome_etan_anidro">'[2]Fatores de Emissão'!$C$130</definedName>
    <definedName name="nome_etan_hidrat">'[2]Fatores de Emissão'!$C$128</definedName>
    <definedName name="nome_gaso_A">'[2]Fatores de Emissão'!$C$115</definedName>
    <definedName name="nome_HFC">'[2]Emissões fugitivas'!$AA$226</definedName>
    <definedName name="nome_oleo_diesel">'[2]Fatores de Emissão'!$C$116</definedName>
    <definedName name="nome_PFC">'[2]Emissões fugitivas'!$AA$227</definedName>
    <definedName name="novonome" localSheetId="1">#REF!</definedName>
    <definedName name="novonome" localSheetId="5">#REF!</definedName>
    <definedName name="novonome" localSheetId="20">#REF!</definedName>
    <definedName name="novonome">#REF!</definedName>
    <definedName name="novonomebioma" localSheetId="1">#REF!</definedName>
    <definedName name="novonomebioma" localSheetId="5">#REF!</definedName>
    <definedName name="novonomebioma" localSheetId="20">#REF!</definedName>
    <definedName name="novonomebioma">#REF!</definedName>
    <definedName name="Pampa">'Apoio_Regulação do clima global'!$B$155:$B$175</definedName>
    <definedName name="Pantanal">'Apoio_Regulação do clima global'!$B$177:$B$192</definedName>
    <definedName name="perc_biod_abr">'[2]Fatores Variáveis'!$H$40</definedName>
    <definedName name="perc_biod_ago">'[2]Fatores Variáveis'!$L$40</definedName>
    <definedName name="perc_biod_anual">'[2]Fatores Variáveis'!$Q$40</definedName>
    <definedName name="perc_biod_dez">'[2]Fatores Variáveis'!$P$40</definedName>
    <definedName name="perc_biod_fev">'[2]Fatores Variáveis'!$F$40</definedName>
    <definedName name="perc_biod_jan">'[2]Fatores Variáveis'!$E$40</definedName>
    <definedName name="perc_biod_jul">'[2]Fatores Variáveis'!$K$40</definedName>
    <definedName name="perc_biod_jun">'[2]Fatores Variáveis'!$J$40</definedName>
    <definedName name="perc_biod_mai">'[2]Fatores Variáveis'!$I$40</definedName>
    <definedName name="perc_biod_mar">'[2]Fatores Variáveis'!$G$40</definedName>
    <definedName name="perc_biod_nov">'[2]Fatores Variáveis'!$O$40</definedName>
    <definedName name="perc_biod_out">'[2]Fatores Variáveis'!$N$40</definedName>
    <definedName name="perc_biod_set">'[2]Fatores Variáveis'!$M$40</definedName>
    <definedName name="perc_etanol_abr">'[2]Fatores Variáveis'!$H$39</definedName>
    <definedName name="perc_etanol_ago">'[2]Fatores Variáveis'!$L$39</definedName>
    <definedName name="perc_etanol_anual">'[2]Fatores Variáveis'!$Q$39</definedName>
    <definedName name="perc_etanol_dez">'[2]Fatores Variáveis'!$P$39</definedName>
    <definedName name="perc_etanol_fev">'[2]Fatores Variáveis'!$F$39</definedName>
    <definedName name="perc_etanol_jan">'[2]Fatores Variáveis'!$E$39</definedName>
    <definedName name="perc_etanol_jul">'[2]Fatores Variáveis'!$K$39</definedName>
    <definedName name="perc_etanol_jun">'[2]Fatores Variáveis'!$J$39</definedName>
    <definedName name="perc_etanol_mai">'[2]Fatores Variáveis'!$I$39</definedName>
    <definedName name="perc_etanol_mar">'[2]Fatores Variáveis'!$G$39</definedName>
    <definedName name="perc_etanol_nov">'[2]Fatores Variáveis'!$O$39</definedName>
    <definedName name="perc_etanol_out">'[2]Fatores Variáveis'!$N$39</definedName>
    <definedName name="perc_etanol_set">'[2]Fatores Variáveis'!$M$39</definedName>
    <definedName name="picture">"Picture32"</definedName>
    <definedName name="precipataçao" localSheetId="1">#REF!</definedName>
    <definedName name="precipataçao" localSheetId="6">#REF!</definedName>
    <definedName name="precipataçao" localSheetId="5">#REF!</definedName>
    <definedName name="precipataçao" localSheetId="8">#REF!</definedName>
    <definedName name="precipataçao" localSheetId="20">#REF!</definedName>
    <definedName name="precipataçao">#REF!</definedName>
    <definedName name="precipataçao1">'[3]Base de Dados'!$B$19:$B$21</definedName>
    <definedName name="precititacaoo" localSheetId="1">#REF!</definedName>
    <definedName name="precititacaoo" localSheetId="6">#REF!</definedName>
    <definedName name="precititacaoo" localSheetId="5">#REF!</definedName>
    <definedName name="precititacaoo" localSheetId="8">#REF!</definedName>
    <definedName name="precititacaoo" localSheetId="20">#REF!</definedName>
    <definedName name="precititacaoo">#REF!</definedName>
    <definedName name="qewfasdfsaf">[1]Dados!$B$27:$B$30</definedName>
    <definedName name="qwe" localSheetId="1">#REF!</definedName>
    <definedName name="qwe" localSheetId="6">#REF!</definedName>
    <definedName name="qwe" localSheetId="5">#REF!</definedName>
    <definedName name="qwe" localSheetId="8">#REF!</definedName>
    <definedName name="qwe" localSheetId="20">#REF!</definedName>
    <definedName name="qwe">#REF!</definedName>
    <definedName name="qwreqwer" localSheetId="1">#REF!</definedName>
    <definedName name="qwreqwer" localSheetId="6">#REF!</definedName>
    <definedName name="qwreqwer" localSheetId="5">#REF!</definedName>
    <definedName name="qwreqwer" localSheetId="8">#REF!</definedName>
    <definedName name="qwreqwer" localSheetId="20">#REF!</definedName>
    <definedName name="qwreqwer">#REF!</definedName>
    <definedName name="RH">'Apoio_Regulação Qualidade Água'!$A$150:$A$152</definedName>
    <definedName name="sel" localSheetId="1">#REF!</definedName>
    <definedName name="sel" localSheetId="6">#REF!</definedName>
    <definedName name="sel" localSheetId="5">#REF!</definedName>
    <definedName name="sel" localSheetId="8">'Regulação Qualidade da Água'!$W$14</definedName>
    <definedName name="sel" localSheetId="20">#REF!</definedName>
    <definedName name="sel">#REF!</definedName>
    <definedName name="selecion315" localSheetId="1">#REF!</definedName>
    <definedName name="selecion315" localSheetId="5">#REF!</definedName>
    <definedName name="selecion315" localSheetId="8">#REF!</definedName>
    <definedName name="selecion315" localSheetId="20">#REF!</definedName>
    <definedName name="selecion315">#REF!</definedName>
    <definedName name="Selecione" localSheetId="1">#REF!</definedName>
    <definedName name="Selecione" localSheetId="5">#REF!</definedName>
    <definedName name="Selecione" localSheetId="8">#REF!</definedName>
    <definedName name="Selecione" localSheetId="20">#REF!</definedName>
    <definedName name="Selecione">#REF!</definedName>
    <definedName name="Selecione1" localSheetId="14">'[4]Base de dados'!#REF!</definedName>
    <definedName name="Selecione1" localSheetId="1">#REF!</definedName>
    <definedName name="Selecione1" localSheetId="5">#REF!</definedName>
    <definedName name="Selecione1" localSheetId="8">#REF!</definedName>
    <definedName name="Selecione1" localSheetId="20">#REF!</definedName>
    <definedName name="Selecione1">#REF!</definedName>
    <definedName name="selecione11" localSheetId="1">#REF!</definedName>
    <definedName name="selecione11" localSheetId="5">#REF!</definedName>
    <definedName name="selecione11" localSheetId="8">#REF!</definedName>
    <definedName name="selecione11" localSheetId="20">#REF!</definedName>
    <definedName name="selecione11">#REF!</definedName>
    <definedName name="selecione32" localSheetId="1">#REF!</definedName>
    <definedName name="selecione32" localSheetId="5">#REF!</definedName>
    <definedName name="selecione32" localSheetId="8">#REF!</definedName>
    <definedName name="selecione32" localSheetId="20">#REF!</definedName>
    <definedName name="selecione32">#REF!</definedName>
    <definedName name="selecione4" localSheetId="1">#REF!</definedName>
    <definedName name="selecione4" localSheetId="5">#REF!</definedName>
    <definedName name="selecione4" localSheetId="8">#REF!</definedName>
    <definedName name="selecione4" localSheetId="20">#REF!</definedName>
    <definedName name="selecione4">#REF!</definedName>
    <definedName name="selecione45" localSheetId="1">#REF!</definedName>
    <definedName name="selecione45" localSheetId="5">#REF!</definedName>
    <definedName name="selecione45" localSheetId="8">#REF!</definedName>
    <definedName name="selecione45" localSheetId="20">#REF!</definedName>
    <definedName name="selecione45">#REF!</definedName>
    <definedName name="selecione67" localSheetId="1">#REF!</definedName>
    <definedName name="selecione67" localSheetId="5">#REF!</definedName>
    <definedName name="selecione67" localSheetId="8">#REF!</definedName>
    <definedName name="selecione67" localSheetId="20">#REF!</definedName>
    <definedName name="selecione67">#REF!</definedName>
    <definedName name="selecione7" localSheetId="1">#REF!</definedName>
    <definedName name="selecione7" localSheetId="5">#REF!</definedName>
    <definedName name="selecione7" localSheetId="8">#REF!</definedName>
    <definedName name="selecione7" localSheetId="20">#REF!</definedName>
    <definedName name="selecione7">#REF!</definedName>
    <definedName name="selecione89" localSheetId="1">#REF!</definedName>
    <definedName name="selecione89" localSheetId="5">#REF!</definedName>
    <definedName name="selecione89" localSheetId="8">#REF!</definedName>
    <definedName name="selecione89" localSheetId="20">#REF!</definedName>
    <definedName name="selecione89">#REF!</definedName>
    <definedName name="selecione9" localSheetId="1">#REF!</definedName>
    <definedName name="selecione9" localSheetId="5">#REF!</definedName>
    <definedName name="selecione9" localSheetId="8">#REF!</definedName>
    <definedName name="selecione9" localSheetId="20">#REF!</definedName>
    <definedName name="selecione9">#REF!</definedName>
    <definedName name="selgeração" localSheetId="1">#REF!</definedName>
    <definedName name="selgeração" localSheetId="5">#REF!</definedName>
    <definedName name="selgeração" localSheetId="8">#REF!</definedName>
    <definedName name="selgeração" localSheetId="20">#REF!</definedName>
    <definedName name="selgeração">#REF!</definedName>
    <definedName name="selii" localSheetId="1">#REF!</definedName>
    <definedName name="selii" localSheetId="5">#REF!</definedName>
    <definedName name="selii" localSheetId="8">#REF!</definedName>
    <definedName name="selii" localSheetId="20">#REF!</definedName>
    <definedName name="selii">#REF!</definedName>
    <definedName name="selmadeireiro" localSheetId="1">#REF!</definedName>
    <definedName name="selmadeireiro" localSheetId="5">#REF!</definedName>
    <definedName name="selmadeireiro" localSheetId="8">#REF!</definedName>
    <definedName name="selmadeireiro" localSheetId="20">#REF!</definedName>
    <definedName name="selmadeireiro">#REF!</definedName>
    <definedName name="selprecipitação" localSheetId="1">#REF!</definedName>
    <definedName name="selprecipitação" localSheetId="5">#REF!</definedName>
    <definedName name="selprecipitação" localSheetId="8">#REF!</definedName>
    <definedName name="selprecipitação" localSheetId="20">#REF!</definedName>
    <definedName name="selprecipitação">#REF!</definedName>
    <definedName name="seltemperatura" localSheetId="1">#REF!</definedName>
    <definedName name="seltemperatura" localSheetId="5">#REF!</definedName>
    <definedName name="seltemperatura" localSheetId="8">#REF!</definedName>
    <definedName name="seltemperatura" localSheetId="20">#REF!</definedName>
    <definedName name="seltemperatura">#REF!</definedName>
    <definedName name="seltipoonibus" localSheetId="1">#REF!</definedName>
    <definedName name="seltipoonibus" localSheetId="5">#REF!</definedName>
    <definedName name="seltipoonibus" localSheetId="8">#REF!</definedName>
    <definedName name="seltipoonibus" localSheetId="20">#REF!</definedName>
    <definedName name="seltipoonibus">#REF!</definedName>
    <definedName name="setor">'Plano de Trabalho'!$C$13</definedName>
    <definedName name="simanaoo" localSheetId="1">#REF!</definedName>
    <definedName name="simanaoo" localSheetId="6">#REF!</definedName>
    <definedName name="simanaoo" localSheetId="5">#REF!</definedName>
    <definedName name="simanaoo" localSheetId="8">#REF!</definedName>
    <definedName name="simanaoo" localSheetId="20">#REF!</definedName>
    <definedName name="simanaoo">#REF!</definedName>
    <definedName name="simanoah" localSheetId="1">#REF!</definedName>
    <definedName name="simanoah" localSheetId="6">#REF!</definedName>
    <definedName name="simanoah" localSheetId="5">#REF!</definedName>
    <definedName name="simanoah" localSheetId="8">#REF!</definedName>
    <definedName name="simanoah" localSheetId="20">#REF!</definedName>
    <definedName name="simanoah">#REF!</definedName>
    <definedName name="simanoooo" localSheetId="1">#REF!</definedName>
    <definedName name="simanoooo" localSheetId="6">#REF!</definedName>
    <definedName name="simanoooo" localSheetId="5">#REF!</definedName>
    <definedName name="simanoooo" localSheetId="8">#REF!</definedName>
    <definedName name="simanoooo" localSheetId="20">#REF!</definedName>
    <definedName name="simanoooo">#REF!</definedName>
    <definedName name="simaoo" localSheetId="1">#REF!</definedName>
    <definedName name="simaoo" localSheetId="5">#REF!</definedName>
    <definedName name="simaoo" localSheetId="8">#REF!</definedName>
    <definedName name="simaoo" localSheetId="20">#REF!</definedName>
    <definedName name="simaoo">#REF!</definedName>
    <definedName name="simdefalutt" localSheetId="1">#REF!</definedName>
    <definedName name="simdefalutt" localSheetId="5">#REF!</definedName>
    <definedName name="simdefalutt" localSheetId="8">#REF!</definedName>
    <definedName name="simdefalutt" localSheetId="20">#REF!</definedName>
    <definedName name="simdefalutt">#REF!</definedName>
    <definedName name="simdefault" localSheetId="1">#REF!</definedName>
    <definedName name="simdefault" localSheetId="5">#REF!</definedName>
    <definedName name="simdefault" localSheetId="8">#REF!</definedName>
    <definedName name="simdefault" localSheetId="20">#REF!</definedName>
    <definedName name="simdefault">#REF!</definedName>
    <definedName name="Simdefault1" localSheetId="1">#REF!</definedName>
    <definedName name="Simdefault1" localSheetId="5">#REF!</definedName>
    <definedName name="Simdefault1" localSheetId="8">#REF!</definedName>
    <definedName name="Simdefault1" localSheetId="20">#REF!</definedName>
    <definedName name="Simdefault1">#REF!</definedName>
    <definedName name="simdefault123">'[3]Base de Dados'!$C$15:$C$17</definedName>
    <definedName name="Simdefault2" localSheetId="1">#REF!</definedName>
    <definedName name="Simdefault2" localSheetId="6">#REF!</definedName>
    <definedName name="Simdefault2" localSheetId="5">#REF!</definedName>
    <definedName name="Simdefault2" localSheetId="8">#REF!</definedName>
    <definedName name="Simdefault2" localSheetId="20">#REF!</definedName>
    <definedName name="Simdefault2">#REF!</definedName>
    <definedName name="simdefault23" localSheetId="1">#REF!</definedName>
    <definedName name="simdefault23" localSheetId="6">#REF!</definedName>
    <definedName name="simdefault23" localSheetId="5">#REF!</definedName>
    <definedName name="simdefault23" localSheetId="8">#REF!</definedName>
    <definedName name="simdefault23" localSheetId="20">#REF!</definedName>
    <definedName name="simdefault23">#REF!</definedName>
    <definedName name="simnao" localSheetId="14">'[4]Base de dados'!#REF!</definedName>
    <definedName name="simnao">'Apoio_Regulação do clima global'!$F$263:$F$265</definedName>
    <definedName name="simnao100" localSheetId="1">#REF!</definedName>
    <definedName name="simnao100" localSheetId="5">#REF!</definedName>
    <definedName name="simnao100" localSheetId="8">#REF!</definedName>
    <definedName name="simnao100" localSheetId="20">#REF!</definedName>
    <definedName name="simnao100">#REF!</definedName>
    <definedName name="simnao11" localSheetId="1">#REF!</definedName>
    <definedName name="simnao11" localSheetId="5">#REF!</definedName>
    <definedName name="simnao11" localSheetId="8">#REF!</definedName>
    <definedName name="simnao11" localSheetId="20">#REF!</definedName>
    <definedName name="simnao11">#REF!</definedName>
    <definedName name="simnao13" localSheetId="1">#REF!</definedName>
    <definedName name="simnao13" localSheetId="5">#REF!</definedName>
    <definedName name="simnao13" localSheetId="8">#REF!</definedName>
    <definedName name="simnao13" localSheetId="20">#REF!</definedName>
    <definedName name="simnao13">#REF!</definedName>
    <definedName name="simnao134">'[3]Base de Dados'!$B$15:$B$17</definedName>
    <definedName name="simnao15" localSheetId="1">#REF!</definedName>
    <definedName name="simnao15" localSheetId="6">#REF!</definedName>
    <definedName name="simnao15" localSheetId="5">#REF!</definedName>
    <definedName name="simnao15" localSheetId="8">#REF!</definedName>
    <definedName name="simnao15" localSheetId="20">#REF!</definedName>
    <definedName name="simnao15">#REF!</definedName>
    <definedName name="simnao2" localSheetId="1">#REF!</definedName>
    <definedName name="simnao2" localSheetId="6">#REF!</definedName>
    <definedName name="simnao2" localSheetId="5">#REF!</definedName>
    <definedName name="simnao2" localSheetId="8">#REF!</definedName>
    <definedName name="simnao2" localSheetId="20">#REF!</definedName>
    <definedName name="simnao2">#REF!</definedName>
    <definedName name="simnao40" localSheetId="1">#REF!</definedName>
    <definedName name="simnao40" localSheetId="6">#REF!</definedName>
    <definedName name="simnao40" localSheetId="5">#REF!</definedName>
    <definedName name="simnao40" localSheetId="8">#REF!</definedName>
    <definedName name="simnao40" localSheetId="20">#REF!</definedName>
    <definedName name="simnao40">#REF!</definedName>
    <definedName name="simnao5" localSheetId="1">#REF!</definedName>
    <definedName name="simnao5" localSheetId="5">#REF!</definedName>
    <definedName name="simnao5" localSheetId="8">#REF!</definedName>
    <definedName name="simnao5" localSheetId="20">#REF!</definedName>
    <definedName name="simnao5">#REF!</definedName>
    <definedName name="simnao56" localSheetId="1">#REF!</definedName>
    <definedName name="simnao56" localSheetId="5">#REF!</definedName>
    <definedName name="simnao56" localSheetId="8">#REF!</definedName>
    <definedName name="simnao56" localSheetId="20">#REF!</definedName>
    <definedName name="simnao56">#REF!</definedName>
    <definedName name="simnao76" localSheetId="1">#REF!</definedName>
    <definedName name="simnao76" localSheetId="5">#REF!</definedName>
    <definedName name="simnao76" localSheetId="8">#REF!</definedName>
    <definedName name="simnao76" localSheetId="20">#REF!</definedName>
    <definedName name="simnao76">#REF!</definedName>
    <definedName name="simnao9" localSheetId="1">#REF!</definedName>
    <definedName name="simnao9" localSheetId="5">#REF!</definedName>
    <definedName name="simnao9" localSheetId="8">#REF!</definedName>
    <definedName name="simnao9" localSheetId="20">#REF!</definedName>
    <definedName name="simnao9">#REF!</definedName>
    <definedName name="simnaonovo">'Apoio_Regulação do clima global'!$F$264:$F$265</definedName>
    <definedName name="simnaoo" localSheetId="1">#REF!</definedName>
    <definedName name="simnaoo" localSheetId="5">#REF!</definedName>
    <definedName name="simnaoo" localSheetId="8">#REF!</definedName>
    <definedName name="simnaoo" localSheetId="20">#REF!</definedName>
    <definedName name="simnaoo">#REF!</definedName>
    <definedName name="simnaoooo" localSheetId="1">#REF!</definedName>
    <definedName name="simnaoooo" localSheetId="5">#REF!</definedName>
    <definedName name="simnaoooo" localSheetId="8">#REF!</definedName>
    <definedName name="simnaoooo" localSheetId="20">#REF!</definedName>
    <definedName name="simnaoooo">#REF!</definedName>
    <definedName name="simnaooooo" localSheetId="1">#REF!</definedName>
    <definedName name="simnaooooo" localSheetId="5">#REF!</definedName>
    <definedName name="simnaooooo" localSheetId="8">#REF!</definedName>
    <definedName name="simnaooooo" localSheetId="20">#REF!</definedName>
    <definedName name="simnaooooo">#REF!</definedName>
    <definedName name="simnaos" localSheetId="1">#REF!</definedName>
    <definedName name="simnaos" localSheetId="5">#REF!</definedName>
    <definedName name="simnaos" localSheetId="8">#REF!</definedName>
    <definedName name="simnaos" localSheetId="20">#REF!</definedName>
    <definedName name="simnaos">#REF!</definedName>
    <definedName name="sn" localSheetId="1">#REF!</definedName>
    <definedName name="sn" localSheetId="5">#REF!</definedName>
    <definedName name="sn" localSheetId="8">#REF!</definedName>
    <definedName name="sn" localSheetId="20">#REF!</definedName>
    <definedName name="sn">#REF!</definedName>
    <definedName name="snd" localSheetId="1">#REF!</definedName>
    <definedName name="snd" localSheetId="5">#REF!</definedName>
    <definedName name="snd" localSheetId="8">#REF!</definedName>
    <definedName name="snd" localSheetId="20">#REF!</definedName>
    <definedName name="snd">#REF!</definedName>
    <definedName name="Subterrânea">'Apoio_Regulação Qualidade Água'!$H$17:$H$112</definedName>
    <definedName name="Superfície">'Apoio_Regulação Qualidade Água'!$A$17:$A$145</definedName>
    <definedName name="SZDszd" localSheetId="1">#REF!</definedName>
    <definedName name="SZDszd" localSheetId="5">#REF!</definedName>
    <definedName name="SZDszd" localSheetId="8">#REF!</definedName>
    <definedName name="SZDszd" localSheetId="20">#REF!</definedName>
    <definedName name="SZDszd">#REF!</definedName>
    <definedName name="tab_consumo_medio_frota">'[2]Fatores de Emissão'!$C$178:$AA$193</definedName>
    <definedName name="tab_FE_ced">'[2]Fatores de Emissão'!$B$47:$AB$105</definedName>
    <definedName name="tab_FE_CM_combustivel">'[2]Fatores de Emissão'!$C$115:$J$130</definedName>
    <definedName name="tab_FE_CM_frota">'[2]Fatores de Emissão'!$H$139:$BY$170</definedName>
    <definedName name="tab_FE_CM_frota_biocomb">'[2]Fatores de Emissão'!$H$164:$BY$170</definedName>
    <definedName name="tab_FE_CM_frota_fossil">'[2]Fatores de Emissão'!$H$139:$BY$158</definedName>
    <definedName name="tab_FE_VN">'[2]Fatores de Emissão'!$C$205:$G$207</definedName>
    <definedName name="tab_setores">'[2]Fatores de Emissão'!$K$46:$R$46</definedName>
    <definedName name="temp" localSheetId="1">#REF!</definedName>
    <definedName name="temp" localSheetId="6">#REF!</definedName>
    <definedName name="temp" localSheetId="5">#REF!</definedName>
    <definedName name="temp" localSheetId="8">#REF!</definedName>
    <definedName name="temp" localSheetId="20">#REF!</definedName>
    <definedName name="temp">#REF!</definedName>
    <definedName name="temp123">'[3]Base de Dados'!$B$23:$B$25</definedName>
    <definedName name="tempar" localSheetId="1">#REF!</definedName>
    <definedName name="tempar" localSheetId="6">#REF!</definedName>
    <definedName name="tempar" localSheetId="5">#REF!</definedName>
    <definedName name="tempar" localSheetId="8">#REF!</definedName>
    <definedName name="tempar" localSheetId="20">#REF!</definedName>
    <definedName name="tempar">#REF!</definedName>
    <definedName name="temperaf" localSheetId="1">#REF!</definedName>
    <definedName name="temperaf" localSheetId="6">#REF!</definedName>
    <definedName name="temperaf" localSheetId="5">#REF!</definedName>
    <definedName name="temperaf" localSheetId="8">#REF!</definedName>
    <definedName name="temperaf" localSheetId="20">#REF!</definedName>
    <definedName name="temperaf">#REF!</definedName>
    <definedName name="temperatura" localSheetId="1">#REF!</definedName>
    <definedName name="temperatura" localSheetId="6">#REF!</definedName>
    <definedName name="temperatura" localSheetId="5">#REF!</definedName>
    <definedName name="temperatura" localSheetId="8">#REF!</definedName>
    <definedName name="temperatura" localSheetId="20">#REF!</definedName>
    <definedName name="temperatura">#REF!</definedName>
    <definedName name="temperatura123" localSheetId="1">'[3]Base de Dados'!#REF!</definedName>
    <definedName name="temperatura123" localSheetId="6">'[3]Base de Dados'!#REF!</definedName>
    <definedName name="temperatura123" localSheetId="5">'[3]Base de Dados'!#REF!</definedName>
    <definedName name="temperatura123" localSheetId="8">'[3]Base de Dados'!#REF!</definedName>
    <definedName name="temperatura123" localSheetId="20">'[3]Base de Dados'!#REF!</definedName>
    <definedName name="temperatura123">'[3]Base de Dados'!#REF!</definedName>
    <definedName name="tipoonibus" localSheetId="1">#REF!</definedName>
    <definedName name="tipoonibus" localSheetId="6">#REF!</definedName>
    <definedName name="tipoonibus" localSheetId="5">#REF!</definedName>
    <definedName name="tipoonibus" localSheetId="8">#REF!</definedName>
    <definedName name="tipoonibus" localSheetId="20">#REF!</definedName>
    <definedName name="tipoonibus">#REF!</definedName>
    <definedName name="total_AA_biomassa">'[2]Atividades agrícolas'!$F$54</definedName>
    <definedName name="total_AA_CH4">'[2]Atividades agrícolas'!$AE$32</definedName>
    <definedName name="total_AA_CO2">'[2]Atividades agrícolas'!$AE$31</definedName>
    <definedName name="total_AA_escopo1">'[2]Atividades agrícolas'!$F$52</definedName>
    <definedName name="total_AA_Gases_R">'[2]Atividades agrícolas'!$AE$53:$AE$95</definedName>
    <definedName name="total_AA_Gases_R_CO2e">'[2]Atividades agrícolas'!$AF$53:$AF$95</definedName>
    <definedName name="total_AA_HFC">'[2]Atividades agrícolas'!$AE$34:$AE$52</definedName>
    <definedName name="total_AA_HFC_CO2e">'[2]Atividades agrícolas'!$AF$34:$AF$52</definedName>
    <definedName name="total_AA_N2O">'[2]Atividades agrícolas'!$AE$33</definedName>
    <definedName name="total_AA_PFC">'[2]Atividades agrícolas'!$AE$96:$AE$102</definedName>
    <definedName name="total_AA_PFC_CO2e">'[2]Atividades agrícolas'!$AF$96:$AF$102</definedName>
    <definedName name="total_AA_SF6">'[2]Atividades agrícolas'!$AE$103</definedName>
    <definedName name="total_Cat1_CH4">'[2]Categorias de Escopo 3'!$C$26</definedName>
    <definedName name="total_Cat1_CO2">'[2]Categorias de Escopo 3'!$C$25</definedName>
    <definedName name="total_Cat1_CO2_biomassa">'[2]Categorias de Escopo 3'!$C$33</definedName>
    <definedName name="total_Cat1_CO2e">'[2]Categorias de Escopo 3'!$D$31</definedName>
    <definedName name="total_Cat1_HFC">'[2]Categorias de Escopo 3'!$C$28</definedName>
    <definedName name="total_Cat1_N2O">'[2]Categorias de Escopo 3'!$C$27</definedName>
    <definedName name="total_Cat1_PFC">'[2]Categorias de Escopo 3'!$C$29</definedName>
    <definedName name="total_Cat1_SF6">'[2]Categorias de Escopo 3'!$C$30</definedName>
    <definedName name="total_Cat10_CH4">'[2]Categorias de Escopo 3'!$E$54</definedName>
    <definedName name="total_Cat10_CO2">'[2]Categorias de Escopo 3'!$E$53</definedName>
    <definedName name="total_Cat10_CO2_biomassa">'[2]Categorias de Escopo 3'!$E$61</definedName>
    <definedName name="total_Cat10_CO2e">'[2]Categorias de Escopo 3'!$F$59</definedName>
    <definedName name="total_Cat10_HFC">'[2]Categorias de Escopo 3'!$E$56</definedName>
    <definedName name="total_Cat10_N2O">'[2]Categorias de Escopo 3'!$E$55</definedName>
    <definedName name="total_Cat10_PFC">'[2]Categorias de Escopo 3'!$E$57</definedName>
    <definedName name="total_Cat10_SF6">'[2]Categorias de Escopo 3'!$E$58</definedName>
    <definedName name="total_Cat11_CH4">'[2]Categorias de Escopo 3'!$G$54</definedName>
    <definedName name="total_Cat11_CO2">'[2]Categorias de Escopo 3'!$G$53</definedName>
    <definedName name="total_Cat11_CO2_biomassa">'[2]Categorias de Escopo 3'!$G$61</definedName>
    <definedName name="total_Cat11_CO2e">'[2]Categorias de Escopo 3'!$H$59</definedName>
    <definedName name="total_Cat11_HFC">'[2]Categorias de Escopo 3'!$G$56</definedName>
    <definedName name="total_Cat11_N2O">'[2]Categorias de Escopo 3'!$G$55</definedName>
    <definedName name="total_Cat11_PFC">'[2]Categorias de Escopo 3'!$G$57</definedName>
    <definedName name="total_Cat11_SF6">'[2]Categorias de Escopo 3'!$G$58</definedName>
    <definedName name="total_Cat12_CH4">'[2]Categorias de Escopo 3'!$I$54</definedName>
    <definedName name="total_Cat12_CO2">'[2]Categorias de Escopo 3'!$I$53</definedName>
    <definedName name="total_Cat12_CO2_biomassa">'[2]Categorias de Escopo 3'!$I$61</definedName>
    <definedName name="total_Cat12_CO2e">'[2]Categorias de Escopo 3'!$J$59</definedName>
    <definedName name="total_Cat12_HFC">'[2]Categorias de Escopo 3'!$I$56</definedName>
    <definedName name="total_Cat12_N2O">'[2]Categorias de Escopo 3'!$I$55</definedName>
    <definedName name="total_Cat12_PFC">'[2]Categorias de Escopo 3'!$I$57</definedName>
    <definedName name="total_Cat12_SF6">'[2]Categorias de Escopo 3'!$I$58</definedName>
    <definedName name="total_Cat13_CH4">'[2]Categorias de Escopo 3'!$C$68</definedName>
    <definedName name="total_Cat13_CO2">'[2]Categorias de Escopo 3'!$C$67</definedName>
    <definedName name="total_Cat13_CO2_biomassa">'[2]Categorias de Escopo 3'!$C$75</definedName>
    <definedName name="total_Cat13_CO2e">'[2]Categorias de Escopo 3'!$D$73</definedName>
    <definedName name="total_Cat13_HFC">'[2]Categorias de Escopo 3'!$C$70</definedName>
    <definedName name="total_Cat13_N2O">'[2]Categorias de Escopo 3'!$C$69</definedName>
    <definedName name="total_Cat13_PFC">'[2]Categorias de Escopo 3'!$C$71</definedName>
    <definedName name="total_Cat13_SF6">'[2]Categorias de Escopo 3'!$C$72</definedName>
    <definedName name="total_Cat14_CH4">'[2]Categorias de Escopo 3'!$E$68</definedName>
    <definedName name="total_Cat14_CO2">'[2]Categorias de Escopo 3'!$E$67</definedName>
    <definedName name="total_Cat14_CO2_biomassa">'[2]Categorias de Escopo 3'!$E$75</definedName>
    <definedName name="total_Cat14_CO2e">'[2]Categorias de Escopo 3'!$F$73</definedName>
    <definedName name="total_Cat14_HFC">'[2]Categorias de Escopo 3'!$E$70</definedName>
    <definedName name="total_Cat14_N2O">'[2]Categorias de Escopo 3'!$E$69</definedName>
    <definedName name="total_Cat14_PFC">'[2]Categorias de Escopo 3'!$E$71</definedName>
    <definedName name="total_Cat14_SF6">'[2]Categorias de Escopo 3'!$E$72</definedName>
    <definedName name="total_Cat15_CH4">'[2]Categorias de Escopo 3'!$G$68</definedName>
    <definedName name="total_Cat15_CO2">'[2]Categorias de Escopo 3'!$G$67</definedName>
    <definedName name="total_Cat15_CO2_biomassa">'[2]Categorias de Escopo 3'!$G$75</definedName>
    <definedName name="total_Cat15_CO2e">'[2]Categorias de Escopo 3'!$H$73</definedName>
    <definedName name="total_Cat15_HFC">'[2]Categorias de Escopo 3'!$G$70</definedName>
    <definedName name="total_Cat15_N2O">'[2]Categorias de Escopo 3'!$G$69</definedName>
    <definedName name="total_Cat15_PFC">'[2]Categorias de Escopo 3'!$G$71</definedName>
    <definedName name="total_Cat15_SF6">'[2]Categorias de Escopo 3'!$G$72</definedName>
    <definedName name="total_Cat2_CH4">'[2]Categorias de Escopo 3'!$E$26</definedName>
    <definedName name="total_Cat2_CO2">'[2]Categorias de Escopo 3'!$E$25</definedName>
    <definedName name="total_Cat2_CO2_biomassa">'[2]Categorias de Escopo 3'!$E$33</definedName>
    <definedName name="total_Cat2_CO2e">'[2]Categorias de Escopo 3'!$F$31</definedName>
    <definedName name="total_Cat2_HFC">'[2]Categorias de Escopo 3'!$E$28</definedName>
    <definedName name="total_Cat2_N2O">'[2]Categorias de Escopo 3'!$E$27</definedName>
    <definedName name="total_Cat2_PFC">'[2]Categorias de Escopo 3'!$E$29</definedName>
    <definedName name="total_Cat2_SF6">'[2]Categorias de Escopo 3'!$E$30</definedName>
    <definedName name="total_Cat3_CH4">'[2]Categorias de Escopo 3'!$G$26</definedName>
    <definedName name="total_Cat3_CO2">'[2]Categorias de Escopo 3'!$G$25</definedName>
    <definedName name="total_Cat3_CO2_biomassa">'[2]Categorias de Escopo 3'!$G$33</definedName>
    <definedName name="total_Cat3_CO2e">'[2]Categorias de Escopo 3'!$H$31</definedName>
    <definedName name="total_Cat3_HFC">'[2]Categorias de Escopo 3'!$G$28</definedName>
    <definedName name="total_Cat3_N2O">'[2]Categorias de Escopo 3'!$G$27</definedName>
    <definedName name="total_Cat3_PFC">'[2]Categorias de Escopo 3'!$G$29</definedName>
    <definedName name="total_Cat3_SF6">'[2]Categorias de Escopo 3'!$G$30</definedName>
    <definedName name="total_Cat4_CH4">'[2]Categorias de Escopo 3'!$I$26</definedName>
    <definedName name="total_Cat4_CO2">'[2]Categorias de Escopo 3'!$I$25</definedName>
    <definedName name="total_Cat4_CO2_biomassa">'[2]Categorias de Escopo 3'!$I$33</definedName>
    <definedName name="total_Cat4_CO2e">'[2]Categorias de Escopo 3'!$J$31</definedName>
    <definedName name="total_Cat4_N2O">'[2]Categorias de Escopo 3'!$I$27</definedName>
    <definedName name="total_Cat5_CH4">'[2]Categorias de Escopo 3'!$C$40</definedName>
    <definedName name="total_Cat5_CO2">'[2]Categorias de Escopo 3'!$C$39</definedName>
    <definedName name="total_Cat5_CO2_biomassa">'[2]Categorias de Escopo 3'!$C$47</definedName>
    <definedName name="total_Cat5_CO2e">'[2]Categorias de Escopo 3'!$D$45</definedName>
    <definedName name="total_Cat5_N2O">'[2]Categorias de Escopo 3'!$C$41</definedName>
    <definedName name="total_Cat6_CH4">'[2]Categorias de Escopo 3'!$E$40</definedName>
    <definedName name="total_Cat6_CO2">'[2]Categorias de Escopo 3'!$E$39</definedName>
    <definedName name="total_Cat6_CO2_biomassa">'[2]Categorias de Escopo 3'!$E$47</definedName>
    <definedName name="total_Cat6_CO2e">'[2]Categorias de Escopo 3'!$F$45</definedName>
    <definedName name="total_Cat6_N2O">'[2]Categorias de Escopo 3'!$E$41</definedName>
    <definedName name="total_Cat7_CH4">'[2]Categorias de Escopo 3'!$G$40</definedName>
    <definedName name="total_Cat7_CO2">'[2]Categorias de Escopo 3'!$G$39</definedName>
    <definedName name="total_Cat7_CO2_biomassa">'[2]Categorias de Escopo 3'!$G$47</definedName>
    <definedName name="total_Cat7_CO2e">'[2]Categorias de Escopo 3'!$H$45</definedName>
    <definedName name="total_Cat7_HFC">'[2]Categorias de Escopo 3'!$G$42</definedName>
    <definedName name="total_Cat7_N2O">'[2]Categorias de Escopo 3'!$G$41</definedName>
    <definedName name="total_Cat7_PFC">'[2]Categorias de Escopo 3'!$G$43</definedName>
    <definedName name="total_Cat7_SF6">'[2]Categorias de Escopo 3'!$G$44</definedName>
    <definedName name="total_Cat8_CH4">'[2]Categorias de Escopo 3'!$I$40</definedName>
    <definedName name="total_Cat8_CO2">'[2]Categorias de Escopo 3'!$I$39</definedName>
    <definedName name="total_Cat8_CO2_biomassa">'[2]Categorias de Escopo 3'!$I$47</definedName>
    <definedName name="total_Cat8_CO2e">'[2]Categorias de Escopo 3'!$J$45</definedName>
    <definedName name="total_Cat8_HFC">'[2]Categorias de Escopo 3'!$I$42</definedName>
    <definedName name="total_Cat8_N2O">'[2]Categorias de Escopo 3'!$I$41</definedName>
    <definedName name="total_Cat8_PFC">'[2]Categorias de Escopo 3'!$I$43</definedName>
    <definedName name="total_Cat8_SF6">'[2]Categorias de Escopo 3'!$I$44</definedName>
    <definedName name="total_Cat9_CH4">'[2]Categorias de Escopo 3'!$C$54</definedName>
    <definedName name="total_Cat9_CO2">'[2]Categorias de Escopo 3'!$C$53</definedName>
    <definedName name="total_Cat9_CO2_biomassa">'[2]Categorias de Escopo 3'!$C$61</definedName>
    <definedName name="total_Cat9_CO2e">'[2]Categorias de Escopo 3'!$D$59</definedName>
    <definedName name="total_Cat9_N2O">'[2]Categorias de Escopo 3'!$C$55</definedName>
    <definedName name="total_CED_biomassa">'[2]Combustão estacionária'!$E$157</definedName>
    <definedName name="total_CED_CH4">'[2]Combustão estacionária'!$J$134</definedName>
    <definedName name="total_CED_CH4_biomassa">'[2]Combustão estacionária'!$J$148</definedName>
    <definedName name="total_CED_CO2">'[2]Combustão estacionária'!$I$134</definedName>
    <definedName name="total_CED_escopo1">'[2]Combustão estacionária'!$E$155</definedName>
    <definedName name="total_CED_N2O">'[2]Combustão estacionária'!$K$134</definedName>
    <definedName name="total_CED_N2O_biomassa">'[2]Combustão estacionária'!$K$148</definedName>
    <definedName name="total_CMD_aereo_CH4">'[2]Combustão móvel'!$H$269</definedName>
    <definedName name="total_CMD_aereo_CO2">'[2]Combustão móvel'!$G$269</definedName>
    <definedName name="total_CMD_aereo_N2O">'[2]Combustão móvel'!$I$269</definedName>
    <definedName name="total_CMD_biomassa">'[2]Combustão móvel'!$F$278</definedName>
    <definedName name="total_CMD_escopo1">'[2]Combustão móvel'!$F$276</definedName>
    <definedName name="total_CMD_ferro_CH4">'[2]Combustão móvel'!$H$193</definedName>
    <definedName name="total_CMD_ferro_CO2">'[2]Combustão móvel'!$G$193</definedName>
    <definedName name="total_CMD_ferro_N2O">'[2]Combustão móvel'!$I$193</definedName>
    <definedName name="total_CMD_hidro_CH4">'[2]Combustão móvel'!$H$229</definedName>
    <definedName name="total_CMD_hidro_CO2">'[2]Combustão móvel'!$G$229</definedName>
    <definedName name="total_CMD_hidro_N2O">'[2]Combustão móvel'!$I$229</definedName>
    <definedName name="total_CMD_rod_CH4">'[2]Combustão móvel'!$G$156</definedName>
    <definedName name="total_CMD_rod_CO2">'[2]Combustão móvel'!$F$156</definedName>
    <definedName name="total_CMD_rod_N2O">'[2]Combustão móvel'!$H$156</definedName>
    <definedName name="total_CV_biomassa">'[2]Compra de Energia Térmica'!$F$110</definedName>
    <definedName name="total_CV_CH4">'[2]Compra de Energia Térmica'!$G$89</definedName>
    <definedName name="total_CV_CH4_biomassa">'[2]Compra de Energia Térmica'!$G$103</definedName>
    <definedName name="total_CV_CO2">'[2]Compra de Energia Térmica'!$F$89</definedName>
    <definedName name="total_CV_escopo2">'[2]Compra de Energia Térmica'!$F$108</definedName>
    <definedName name="total_CV_N2O">'[2]Compra de Energia Térmica'!$H$89</definedName>
    <definedName name="total_CV_N2O_biomassa">'[2]Compra de Energia Térmica'!$H$103</definedName>
    <definedName name="total_EF_CH4">'[2]Emissões fugitivas'!$F$226</definedName>
    <definedName name="total_EF_CO2">'[2]Emissões fugitivas'!$F$225</definedName>
    <definedName name="total_EF_escopo1">'[2]Emissões fugitivas'!$F$209</definedName>
    <definedName name="total_EF_Gases_R">'[2]Emissões fugitivas'!$F$247:$F$289</definedName>
    <definedName name="total_EF_Gases_R_CO2e">'[2]Emissões fugitivas'!$G$247:$G$289</definedName>
    <definedName name="total_EF_HFC">'[2]Emissões fugitivas'!$F$228:$F$246</definedName>
    <definedName name="total_EF_HFC_CO2e">'[2]Emissões fugitivas'!$G$228:$G$246</definedName>
    <definedName name="total_EF_N2O">'[2]Emissões fugitivas'!$F$227</definedName>
    <definedName name="Total_EF_PFC">'[2]Emissões fugitivas'!$F$290:$F$296</definedName>
    <definedName name="Total_EF_PFC_CO2e">'[2]Emissões fugitivas'!$G$290:$G$296</definedName>
    <definedName name="total_EF_SF6">'[2]Emissões fugitivas'!$F$297</definedName>
    <definedName name="total_EFL_biomassa">[2]Efluentes!$D$120</definedName>
    <definedName name="total_EFL_biomassa_E3">'[2]Efluentes gerados na operação'!$D$120:$E$120</definedName>
    <definedName name="total_EFL_CH4">[2]Efluentes!$E$109</definedName>
    <definedName name="total_EFL_CH4_E3">'[2]Efluentes gerados na operação'!$E$109</definedName>
    <definedName name="total_EFL_escopo1">[2]Efluentes!$D$118</definedName>
    <definedName name="total_EFL_N2O">[2]Efluentes!$E$110</definedName>
    <definedName name="total_EFL_N2O_E3">'[2]Efluentes gerados na operação'!$E$110</definedName>
    <definedName name="total_HFC_CO2e_Cat1">'[2]Categorias de Escopo 3'!$D$28</definedName>
    <definedName name="total_HFC_CO2e_Cat10">'[2]Categorias de Escopo 3'!$F$56</definedName>
    <definedName name="total_HFC_CO2e_Cat11">'[2]Categorias de Escopo 3'!$H$56</definedName>
    <definedName name="total_HFC_CO2e_Cat12">'[2]Categorias de Escopo 3'!$J$56</definedName>
    <definedName name="total_HFC_CO2e_Cat13">'[2]Categorias de Escopo 3'!$D$70</definedName>
    <definedName name="total_HFC_CO2e_Cat14">'[2]Categorias de Escopo 3'!$F$70</definedName>
    <definedName name="total_HFC_CO2e_Cat15">'[2]Categorias de Escopo 3'!$H$70</definedName>
    <definedName name="total_HFC_CO2e_Cat2">'[2]Categorias de Escopo 3'!$F$28</definedName>
    <definedName name="total_HFC_CO2e_Cat3">'[2]Categorias de Escopo 3'!$H$28</definedName>
    <definedName name="total_HFC_CO2e_Cat7">'[2]Categorias de Escopo 3'!$H$42</definedName>
    <definedName name="total_HFC_CO2e_Cat8">'[2]Categorias de Escopo 3'!$J$42</definedName>
    <definedName name="total_HFC_OutrasEmissoes_CO2e">'[2]Categorias de Escopo 3'!$J$70</definedName>
    <definedName name="total_OutrasEmissoes_biomassa">'[2]Categorias de Escopo 3'!$I$75</definedName>
    <definedName name="total_OutrasEmissoes_CH4">'[2]Categorias de Escopo 3'!$I$68</definedName>
    <definedName name="total_OutrasEmissoes_CO2">'[2]Categorias de Escopo 3'!$I$67</definedName>
    <definedName name="total_OutrasEmissoes_CO2e">'[2]Categorias de Escopo 3'!$J$73</definedName>
    <definedName name="total_OutrasEmissoes_HFC">'[2]Categorias de Escopo 3'!$I$70</definedName>
    <definedName name="total_OutrasEmissoes_N2O">'[2]Categorias de Escopo 3'!$I$69</definedName>
    <definedName name="total_OutrasEmissoes_PFC">'[2]Categorias de Escopo 3'!$I$71</definedName>
    <definedName name="total_OutrasEmissoes_SF6">'[2]Categorias de Escopo 3'!$I$72</definedName>
    <definedName name="total_PFC_CO2e_Cat1">'[2]Categorias de Escopo 3'!$D$29</definedName>
    <definedName name="total_PFC_CO2e_Cat10">'[2]Categorias de Escopo 3'!$F$57</definedName>
    <definedName name="total_PFC_CO2e_Cat11">'[2]Categorias de Escopo 3'!$H$57</definedName>
    <definedName name="total_PFC_CO2e_Cat12">'[2]Categorias de Escopo 3'!$J$57</definedName>
    <definedName name="total_PFC_CO2e_Cat13">'[2]Categorias de Escopo 3'!$D$71</definedName>
    <definedName name="total_PFC_CO2e_Cat14">'[2]Categorias de Escopo 3'!$F$71</definedName>
    <definedName name="total_PFC_CO2e_Cat15">'[2]Categorias de Escopo 3'!$H$71</definedName>
    <definedName name="total_PFC_CO2e_Cat2">'[2]Categorias de Escopo 3'!$F$29</definedName>
    <definedName name="total_PFC_CO2e_Cat3">'[2]Categorias de Escopo 3'!$H$29</definedName>
    <definedName name="total_PFC_CO2e_Cat7">'[2]Categorias de Escopo 3'!$H$43</definedName>
    <definedName name="total_PFC_CO2e_Cat8">'[2]Categorias de Escopo 3'!$J$43</definedName>
    <definedName name="total_PFC_OutrasEmissoes_CO2e">'[2]Categorias de Escopo 3'!$J$71</definedName>
    <definedName name="total_PI_biomassa">'[2]Processos industriais'!$F$58</definedName>
    <definedName name="total_PI_CH4">'[2]Processos industriais'!$AE$32</definedName>
    <definedName name="total_PI_CO2">'[2]Processos industriais'!$AE$31</definedName>
    <definedName name="total_PI_escopo1">'[2]Processos industriais'!$F$56</definedName>
    <definedName name="total_PI_Gases_R">'[2]Processos industriais'!$AE$53:$AE$95</definedName>
    <definedName name="total_PI_Gases_R_CO2e">'[2]Processos industriais'!$AF$53:$AF$95</definedName>
    <definedName name="total_PI_HFC">'[2]Processos industriais'!$AE$34:$AE$52</definedName>
    <definedName name="total_PI_HFC_CO2e">'[2]Processos industriais'!$AF$34:$AF$52</definedName>
    <definedName name="total_PI_N2O">'[2]Processos industriais'!$AE$33</definedName>
    <definedName name="total_PI_PFC">'[2]Processos industriais'!$AE$96:$AE$102</definedName>
    <definedName name="total_PI_PFC_CO2e">'[2]Processos industriais'!$AF$96:$AF$102</definedName>
    <definedName name="total_PI_SF6">'[2]Processos industriais'!$AE$103</definedName>
    <definedName name="total_RS_aterro_CH4" localSheetId="1">#REF!</definedName>
    <definedName name="total_RS_aterro_CH4" localSheetId="6">#REF!</definedName>
    <definedName name="total_RS_aterro_CH4" localSheetId="5">#REF!</definedName>
    <definedName name="total_RS_aterro_CH4" localSheetId="8">#REF!</definedName>
    <definedName name="total_RS_aterro_CH4" localSheetId="20">#REF!</definedName>
    <definedName name="total_RS_aterro_CH4">#REF!</definedName>
    <definedName name="total_RS_aterro_Ch4_123" localSheetId="1">#REF!</definedName>
    <definedName name="total_RS_aterro_Ch4_123" localSheetId="6">#REF!</definedName>
    <definedName name="total_RS_aterro_Ch4_123" localSheetId="5">#REF!</definedName>
    <definedName name="total_RS_aterro_Ch4_123" localSheetId="8">#REF!</definedName>
    <definedName name="total_RS_aterro_Ch4_123" localSheetId="20">#REF!</definedName>
    <definedName name="total_RS_aterro_Ch4_123">#REF!</definedName>
    <definedName name="total_RS_aterro_CH4_E3">'[2]Resíduos sólidos da operação'!$E$123</definedName>
    <definedName name="total_RS_aterro_CO2e">'[3]Resíduos sólidos'!$E$119</definedName>
    <definedName name="total_RS_biomassa" localSheetId="1">#REF!</definedName>
    <definedName name="total_RS_biomassa" localSheetId="6">#REF!</definedName>
    <definedName name="total_RS_biomassa" localSheetId="5">#REF!</definedName>
    <definedName name="total_RS_biomassa" localSheetId="8">#REF!</definedName>
    <definedName name="total_RS_biomassa" localSheetId="20">#REF!</definedName>
    <definedName name="total_RS_biomassa">#REF!</definedName>
    <definedName name="total_RS_biomassa_E3">'[2]Resíduos sólidos da operação'!$E$176:$F$176</definedName>
    <definedName name="total_RS_compost_CH4" localSheetId="1">#REF!</definedName>
    <definedName name="total_RS_compost_CH4" localSheetId="6">#REF!</definedName>
    <definedName name="total_RS_compost_CH4" localSheetId="5">#REF!</definedName>
    <definedName name="total_RS_compost_CH4" localSheetId="8">#REF!</definedName>
    <definedName name="total_RS_compost_CH4" localSheetId="20">#REF!</definedName>
    <definedName name="total_RS_compost_CH4">#REF!</definedName>
    <definedName name="total_RS_compost_CH4_E3">'[2]Resíduos sólidos da operação'!$E$152</definedName>
    <definedName name="total_RS_compost_CO2e" localSheetId="1">#REF!</definedName>
    <definedName name="total_RS_compost_CO2e" localSheetId="6">#REF!</definedName>
    <definedName name="total_RS_compost_CO2e" localSheetId="5">#REF!</definedName>
    <definedName name="total_RS_compost_CO2e" localSheetId="8">#REF!</definedName>
    <definedName name="total_RS_compost_CO2e" localSheetId="20">#REF!</definedName>
    <definedName name="total_RS_compost_CO2e">#REF!</definedName>
    <definedName name="total_RS_compost_co2e123" localSheetId="1">#REF!</definedName>
    <definedName name="total_RS_compost_co2e123" localSheetId="6">#REF!</definedName>
    <definedName name="total_RS_compost_co2e123" localSheetId="5">#REF!</definedName>
    <definedName name="total_RS_compost_co2e123" localSheetId="8">#REF!</definedName>
    <definedName name="total_RS_compost_co2e123" localSheetId="20">#REF!</definedName>
    <definedName name="total_RS_compost_co2e123">#REF!</definedName>
    <definedName name="total_RS_compost_N2O" localSheetId="1">#REF!</definedName>
    <definedName name="total_RS_compost_N2O" localSheetId="6">#REF!</definedName>
    <definedName name="total_RS_compost_N2O" localSheetId="5">#REF!</definedName>
    <definedName name="total_RS_compost_N2O" localSheetId="8">#REF!</definedName>
    <definedName name="total_RS_compost_N2O" localSheetId="20">#REF!</definedName>
    <definedName name="total_RS_compost_N2O">#REF!</definedName>
    <definedName name="total_RS_compost_N2O_E3">'[2]Resíduos sólidos da operação'!$E$153</definedName>
    <definedName name="total_RS_compost_noo3" localSheetId="1">#REF!</definedName>
    <definedName name="total_RS_compost_noo3" localSheetId="6">#REF!</definedName>
    <definedName name="total_RS_compost_noo3" localSheetId="5">#REF!</definedName>
    <definedName name="total_RS_compost_noo3" localSheetId="8">#REF!</definedName>
    <definedName name="total_RS_compost_noo3" localSheetId="20">#REF!</definedName>
    <definedName name="total_RS_compost_noo3">#REF!</definedName>
    <definedName name="total_RS_escopo1" localSheetId="1">#REF!</definedName>
    <definedName name="total_RS_escopo1" localSheetId="6">#REF!</definedName>
    <definedName name="total_RS_escopo1" localSheetId="5">#REF!</definedName>
    <definedName name="total_RS_escopo1" localSheetId="8">#REF!</definedName>
    <definedName name="total_RS_escopo1" localSheetId="20">#REF!</definedName>
    <definedName name="total_RS_escopo1">#REF!</definedName>
    <definedName name="total_RS_incin_CH4" localSheetId="1">#REF!</definedName>
    <definedName name="total_RS_incin_CH4" localSheetId="6">#REF!</definedName>
    <definedName name="total_RS_incin_CH4" localSheetId="5">#REF!</definedName>
    <definedName name="total_RS_incin_CH4" localSheetId="8">#REF!</definedName>
    <definedName name="total_RS_incin_CH4" localSheetId="20">#REF!</definedName>
    <definedName name="total_RS_incin_CH4">#REF!</definedName>
    <definedName name="total_RS_incin_CH4_E3">'[2]Resíduos sólidos da operação'!$E$167</definedName>
    <definedName name="total_RS_incin_CO2" localSheetId="1">#REF!</definedName>
    <definedName name="total_RS_incin_CO2" localSheetId="6">#REF!</definedName>
    <definedName name="total_RS_incin_CO2" localSheetId="5">#REF!</definedName>
    <definedName name="total_RS_incin_CO2" localSheetId="8">#REF!</definedName>
    <definedName name="total_RS_incin_CO2" localSheetId="20">#REF!</definedName>
    <definedName name="total_RS_incin_CO2">#REF!</definedName>
    <definedName name="total_RS_incin_CO2_E3">'[2]Resíduos sólidos da operação'!$D$167</definedName>
    <definedName name="total_RS_incin_CO2e" localSheetId="1">#REF!</definedName>
    <definedName name="total_RS_incin_CO2e" localSheetId="6">#REF!</definedName>
    <definedName name="total_RS_incin_CO2e" localSheetId="5">#REF!</definedName>
    <definedName name="total_RS_incin_CO2e" localSheetId="8">#REF!</definedName>
    <definedName name="total_RS_incin_CO2e" localSheetId="20">#REF!</definedName>
    <definedName name="total_RS_incin_CO2e">#REF!</definedName>
    <definedName name="total_RS_incin_N2O" localSheetId="1">#REF!</definedName>
    <definedName name="total_RS_incin_N2O" localSheetId="6">#REF!</definedName>
    <definedName name="total_RS_incin_N2O" localSheetId="5">#REF!</definedName>
    <definedName name="total_RS_incin_N2O" localSheetId="8">#REF!</definedName>
    <definedName name="total_RS_incin_N2O" localSheetId="20">#REF!</definedName>
    <definedName name="total_RS_incin_N2O">#REF!</definedName>
    <definedName name="total_RS_incin_N2O_E3">'[2]Resíduos sólidos da operação'!$F$167</definedName>
    <definedName name="total_SIN_escopo2">'[2]Compra de Energia Elétrica'!$J$164</definedName>
    <definedName name="total_TeD_Down_aereo_CH4">'[2]Transp&amp;Distribuição(Downstream)'!$H$241</definedName>
    <definedName name="total_TeD_Down_aereo_CO2">'[2]Transp&amp;Distribuição(Downstream)'!$G$241</definedName>
    <definedName name="total_TeD_Down_aereo_N2O">'[2]Transp&amp;Distribuição(Downstream)'!$I$241</definedName>
    <definedName name="total_TeD_Down_biomassa">'[2]Transp&amp;Distribuição(Downstream)'!$F$250</definedName>
    <definedName name="total_TeD_Down_ferro_CH4">'[2]Transp&amp;Distribuição(Downstream)'!$H$185</definedName>
    <definedName name="total_TeD_Down_ferro_CO2">'[2]Transp&amp;Distribuição(Downstream)'!$G$185</definedName>
    <definedName name="total_TeD_Down_ferro_N2O">'[2]Transp&amp;Distribuição(Downstream)'!$I$185</definedName>
    <definedName name="total_TeD_Down_hidro_CH4">'[2]Transp&amp;Distribuição(Downstream)'!$H$211</definedName>
    <definedName name="total_TeD_Down_hidro_CO2">'[2]Transp&amp;Distribuição(Downstream)'!$G$211</definedName>
    <definedName name="total_TeD_Down_hidro_N2O">'[2]Transp&amp;Distribuição(Downstream)'!$I$211</definedName>
    <definedName name="total_TeD_Down_rod_CH4">'[2]Transp&amp;Distribuição(Downstream)'!$G$158</definedName>
    <definedName name="total_TeD_Down_rod_CO2">'[2]Transp&amp;Distribuição(Downstream)'!$F$158</definedName>
    <definedName name="total_TeD_Down_rod_N2O">'[2]Transp&amp;Distribuição(Downstream)'!$H$158</definedName>
    <definedName name="total_TeD_Up_aereo_CH4">'[2]Transp.&amp; Distribuição(Upstream)'!$H$242</definedName>
    <definedName name="total_TeD_Up_aereo_CO2">'[2]Transp.&amp; Distribuição(Upstream)'!$G$242</definedName>
    <definedName name="total_TeD_Up_aereo_N2O">'[2]Transp.&amp; Distribuição(Upstream)'!$I$242</definedName>
    <definedName name="total_TeD_Up_biomassa">'[2]Transp.&amp; Distribuição(Upstream)'!$F$251</definedName>
    <definedName name="total_TeD_Up_ferro_CH4">'[2]Transp.&amp; Distribuição(Upstream)'!$H$186</definedName>
    <definedName name="total_TeD_Up_ferro_CO2">'[2]Transp.&amp; Distribuição(Upstream)'!$G$186</definedName>
    <definedName name="total_TeD_Up_ferro_N2O">'[2]Transp.&amp; Distribuição(Upstream)'!$I$186</definedName>
    <definedName name="total_TeD_Up_hidro_CH4">'[2]Transp.&amp; Distribuição(Upstream)'!$H$212</definedName>
    <definedName name="total_TeD_Up_hidro_CO2">'[2]Transp.&amp; Distribuição(Upstream)'!$G$212</definedName>
    <definedName name="total_TeD_Up_hidro_N2O">'[2]Transp.&amp; Distribuição(Upstream)'!$I$212</definedName>
    <definedName name="total_TeD_Up_rod_CH4">'[2]Transp.&amp; Distribuição(Upstream)'!$G$159</definedName>
    <definedName name="total_TeD_Up_rod_CO2">'[2]Transp.&amp; Distribuição(Upstream)'!$F$159</definedName>
    <definedName name="total_TeD_Up_rod_N2O">'[2]Transp.&amp; Distribuição(Upstream)'!$H$159</definedName>
    <definedName name="total_VN_automov_CH4_E3">'[2]Viagens a Negócios'!$F$171</definedName>
    <definedName name="total_VN_automov_CO2_E3">'[2]Viagens a Negócios'!$E$171</definedName>
    <definedName name="total_VN_automov_N2O_E3">'[2]Viagens a Negócios'!$G$171</definedName>
    <definedName name="total_VN_aviao_CH4_E3">'[2]Viagens a Negócios'!$G$71</definedName>
    <definedName name="total_VN_aviao_CO2_E3">'[2]Viagens a Negócios'!$F$71</definedName>
    <definedName name="total_VN_aviao_N2O_E3">'[2]Viagens a Negócios'!$H$71</definedName>
    <definedName name="total_VN_biomassa">'[2]Viagens a Negócios'!$E$179</definedName>
    <definedName name="total_VN_ônibus_CH4_E3">'[2]Viagens a Negócios'!$F$139</definedName>
    <definedName name="total_VN_ônibus_CO2_E3">'[2]Viagens a Negócios'!$E$139</definedName>
    <definedName name="total_VN_ônibus_N2O_E3">'[2]Viagens a Negócios'!$G$139</definedName>
    <definedName name="total_VN_trem_CH4_E3">'[2]Viagens a Negócios'!$F$105</definedName>
    <definedName name="total_VN_trem_CO2_E3">'[2]Viagens a Negócios'!$E$105</definedName>
    <definedName name="total_VN_trem_N2O_E3">'[2]Viagens a Negócios'!$G$105</definedName>
    <definedName name="TotalRSBiomassa123" localSheetId="1">#REF!</definedName>
    <definedName name="TotalRSBiomassa123" localSheetId="6">#REF!</definedName>
    <definedName name="TotalRSBiomassa123" localSheetId="5">#REF!</definedName>
    <definedName name="TotalRSBiomassa123" localSheetId="8">#REF!</definedName>
    <definedName name="TotalRSBiomassa123" localSheetId="20">#REF!</definedName>
    <definedName name="TotalRSBiomassa123">#REF!</definedName>
    <definedName name="totalRSCompostCh4_123" localSheetId="1">#REF!</definedName>
    <definedName name="totalRSCompostCh4_123" localSheetId="6">#REF!</definedName>
    <definedName name="totalRSCompostCh4_123" localSheetId="5">#REF!</definedName>
    <definedName name="totalRSCompostCh4_123" localSheetId="8">#REF!</definedName>
    <definedName name="totalRSCompostCh4_123" localSheetId="20">#REF!</definedName>
    <definedName name="totalRSCompostCh4_123">#REF!</definedName>
    <definedName name="totalrsescopo1" localSheetId="1">#REF!</definedName>
    <definedName name="totalrsescopo1" localSheetId="6">#REF!</definedName>
    <definedName name="totalrsescopo1" localSheetId="5">#REF!</definedName>
    <definedName name="totalrsescopo1" localSheetId="8">#REF!</definedName>
    <definedName name="totalrsescopo1" localSheetId="20">#REF!</definedName>
    <definedName name="totalrsescopo1">#REF!</definedName>
    <definedName name="totalrsincinch4" localSheetId="1">#REF!</definedName>
    <definedName name="totalrsincinch4" localSheetId="5">#REF!</definedName>
    <definedName name="totalrsincinch4" localSheetId="8">#REF!</definedName>
    <definedName name="totalrsincinch4" localSheetId="20">#REF!</definedName>
    <definedName name="totalrsincinch4">#REF!</definedName>
    <definedName name="totalrsincinco3" localSheetId="1">#REF!</definedName>
    <definedName name="totalrsincinco3" localSheetId="5">#REF!</definedName>
    <definedName name="totalrsincinco3" localSheetId="8">#REF!</definedName>
    <definedName name="totalrsincinco3" localSheetId="20">#REF!</definedName>
    <definedName name="totalrsincinco3">#REF!</definedName>
    <definedName name="totalrsincinco4" localSheetId="1">#REF!</definedName>
    <definedName name="totalrsincinco4" localSheetId="5">#REF!</definedName>
    <definedName name="totalrsincinco4" localSheetId="8">#REF!</definedName>
    <definedName name="totalrsincinco4" localSheetId="20">#REF!</definedName>
    <definedName name="totalrsincinco4">#REF!</definedName>
    <definedName name="totalrsincinn28" localSheetId="1">#REF!</definedName>
    <definedName name="totalrsincinn28" localSheetId="5">#REF!</definedName>
    <definedName name="totalrsincinn28" localSheetId="8">#REF!</definedName>
    <definedName name="totalrsincinn28" localSheetId="20">#REF!</definedName>
    <definedName name="totalrsincinn28">#REF!</definedName>
    <definedName name="trocanome" localSheetId="1">#REF!</definedName>
    <definedName name="trocanome" localSheetId="5">#REF!</definedName>
    <definedName name="trocanome" localSheetId="20">#REF!</definedName>
    <definedName name="trocanome">#REF!</definedName>
    <definedName name="trwasdfas">[1]Dados!$C$15:$C$17</definedName>
    <definedName name="Unidade">Plan1!$A$5:$A$12</definedName>
    <definedName name="usodaterra" localSheetId="14">'[4]Base de dados'!$B$9:$B$12</definedName>
    <definedName name="usodaterra" localSheetId="6">#REF!</definedName>
    <definedName name="usodaterra" localSheetId="8">#REF!</definedName>
    <definedName name="usodaterra">'Apoio_Regulação do clima global'!$B$198:$B$205</definedName>
    <definedName name="usodaterra1" localSheetId="1">#REF!</definedName>
    <definedName name="usodaterra1" localSheetId="6">#REF!</definedName>
    <definedName name="usodaterra1" localSheetId="5">#REF!</definedName>
    <definedName name="usodaterra1" localSheetId="8">#REF!</definedName>
    <definedName name="usodaterra1" localSheetId="20">#REF!</definedName>
    <definedName name="usodaterra1">#REF!</definedName>
    <definedName name="usodaterra10" localSheetId="1">#REF!</definedName>
    <definedName name="usodaterra10" localSheetId="6">#REF!</definedName>
    <definedName name="usodaterra10" localSheetId="5">#REF!</definedName>
    <definedName name="usodaterra10" localSheetId="8">#REF!</definedName>
    <definedName name="usodaterra10" localSheetId="20">#REF!</definedName>
    <definedName name="usodaterra10">#REF!</definedName>
    <definedName name="usodaterra23" localSheetId="1">#REF!</definedName>
    <definedName name="usodaterra23" localSheetId="5">#REF!</definedName>
    <definedName name="usodaterra23" localSheetId="8">#REF!</definedName>
    <definedName name="usodaterra23" localSheetId="20">#REF!</definedName>
    <definedName name="usodaterra23">#REF!</definedName>
    <definedName name="usodaterra30" localSheetId="1">#REF!</definedName>
    <definedName name="usodaterra30" localSheetId="5">#REF!</definedName>
    <definedName name="usodaterra30" localSheetId="8">#REF!</definedName>
    <definedName name="usodaterra30" localSheetId="20">#REF!</definedName>
    <definedName name="usodaterra30">#REF!</definedName>
    <definedName name="usodaterra8" localSheetId="1">#REF!</definedName>
    <definedName name="usodaterra8" localSheetId="5">#REF!</definedName>
    <definedName name="usodaterra8" localSheetId="8">#REF!</definedName>
    <definedName name="usodaterra8" localSheetId="20">#REF!</definedName>
    <definedName name="usodaterra8">#REF!</definedName>
    <definedName name="wqerqwerqr" localSheetId="1">#REF!</definedName>
    <definedName name="wqerqwerqr" localSheetId="5">#REF!</definedName>
    <definedName name="wqerqwerqr" localSheetId="8">#REF!</definedName>
    <definedName name="wqerqwerqr" localSheetId="20">#REF!</definedName>
    <definedName name="wqerqwerqr">#REF!</definedName>
    <definedName name="wqerwqerwqer">'[1]Resíduos sólidos'!$E$119</definedName>
    <definedName name="xxx" localSheetId="1">#REF!</definedName>
    <definedName name="xxx" localSheetId="5">#REF!</definedName>
    <definedName name="xxx" localSheetId="20">#REF!</definedName>
    <definedName name="xxx">#REF!</definedName>
    <definedName name="xxxxx" localSheetId="1">#REF!</definedName>
    <definedName name="xxxxx" localSheetId="5">#REF!</definedName>
    <definedName name="xxxxx" localSheetId="20">#REF!</definedName>
    <definedName name="xxxxx">#REF!</definedName>
    <definedName name="yyyy" localSheetId="1">#REF!</definedName>
    <definedName name="yyyy" localSheetId="5">#REF!</definedName>
    <definedName name="yyyy" localSheetId="20">#REF!</definedName>
    <definedName name="yyyy">#REF!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J101" i="20" l="1"/>
  <c r="C228" i="21" s="1"/>
  <c r="D57" i="27" l="1"/>
  <c r="L40" i="16" l="1"/>
  <c r="L42" i="16" s="1"/>
  <c r="K29" i="16"/>
  <c r="K20" i="16"/>
  <c r="J73" i="38"/>
  <c r="J68" i="38"/>
  <c r="J71" i="38"/>
  <c r="J67" i="38"/>
  <c r="L41" i="38"/>
  <c r="J32" i="38"/>
  <c r="I73" i="38"/>
  <c r="G83" i="38"/>
  <c r="C83" i="38"/>
  <c r="G82" i="38"/>
  <c r="K84" i="38" l="1"/>
  <c r="K83" i="38"/>
  <c r="L82" i="38"/>
  <c r="K82" i="38"/>
  <c r="I68" i="38"/>
  <c r="C82" i="38" s="1"/>
  <c r="H82" i="38"/>
  <c r="K42" i="38" l="1"/>
  <c r="J20" i="38"/>
  <c r="J19" i="38"/>
  <c r="L32" i="31" l="1"/>
  <c r="G33" i="31"/>
  <c r="F33" i="31" l="1"/>
  <c r="J26" i="38" l="1"/>
  <c r="J27" i="20" l="1"/>
  <c r="J47" i="20" l="1"/>
  <c r="D210" i="21" l="1"/>
  <c r="P209" i="21" l="1"/>
  <c r="P210" i="21"/>
  <c r="P211" i="21"/>
  <c r="P212" i="21"/>
  <c r="P213" i="21"/>
  <c r="P214" i="21"/>
  <c r="P215" i="21"/>
  <c r="P216" i="21"/>
  <c r="R213" i="21"/>
  <c r="P217" i="21" l="1"/>
  <c r="J40" i="20" s="1"/>
  <c r="N197" i="21"/>
  <c r="D238" i="21"/>
  <c r="D234" i="21"/>
  <c r="D235" i="21"/>
  <c r="D236" i="21"/>
  <c r="C223" i="21"/>
  <c r="C242" i="21" s="1"/>
  <c r="D200" i="21" l="1"/>
  <c r="D199" i="21"/>
  <c r="D205" i="21"/>
  <c r="D203" i="21"/>
  <c r="D24" i="21"/>
  <c r="D179" i="21"/>
  <c r="D183" i="21"/>
  <c r="D187" i="21"/>
  <c r="D191" i="21"/>
  <c r="D158" i="21"/>
  <c r="D162" i="21"/>
  <c r="D166" i="21"/>
  <c r="D170" i="21"/>
  <c r="D174" i="21"/>
  <c r="D120" i="21"/>
  <c r="D124" i="21"/>
  <c r="D128" i="21"/>
  <c r="D132" i="21"/>
  <c r="D136" i="21"/>
  <c r="D140" i="21"/>
  <c r="D144" i="21"/>
  <c r="D148" i="21"/>
  <c r="D152" i="21"/>
  <c r="D79" i="21"/>
  <c r="D83" i="21"/>
  <c r="D87" i="21"/>
  <c r="D91" i="21"/>
  <c r="D95" i="21"/>
  <c r="D99" i="21"/>
  <c r="D103" i="21"/>
  <c r="D107" i="21"/>
  <c r="D111" i="21"/>
  <c r="D50" i="21"/>
  <c r="D54" i="21"/>
  <c r="D58" i="21"/>
  <c r="D62" i="21"/>
  <c r="D66" i="21"/>
  <c r="D70" i="21"/>
  <c r="D17" i="21"/>
  <c r="D21" i="21"/>
  <c r="D26" i="21"/>
  <c r="D30" i="21"/>
  <c r="D34" i="21"/>
  <c r="D38" i="21"/>
  <c r="D42" i="21"/>
  <c r="D16" i="21"/>
  <c r="D31" i="21"/>
  <c r="D39" i="21"/>
  <c r="D181" i="21"/>
  <c r="D178" i="21"/>
  <c r="D172" i="21"/>
  <c r="D130" i="21"/>
  <c r="D142" i="21"/>
  <c r="D77" i="21"/>
  <c r="D85" i="21"/>
  <c r="D97" i="21"/>
  <c r="D113" i="21"/>
  <c r="D60" i="21"/>
  <c r="D72" i="21"/>
  <c r="D28" i="21"/>
  <c r="D44" i="21"/>
  <c r="D180" i="21"/>
  <c r="D184" i="21"/>
  <c r="D188" i="21"/>
  <c r="D192" i="21"/>
  <c r="D159" i="21"/>
  <c r="D163" i="21"/>
  <c r="D167" i="21"/>
  <c r="D171" i="21"/>
  <c r="D156" i="21"/>
  <c r="D121" i="21"/>
  <c r="D125" i="21"/>
  <c r="D129" i="21"/>
  <c r="D133" i="21"/>
  <c r="D137" i="21"/>
  <c r="D141" i="21"/>
  <c r="D145" i="21"/>
  <c r="D149" i="21"/>
  <c r="D117" i="21"/>
  <c r="D80" i="21"/>
  <c r="D84" i="21"/>
  <c r="D88" i="21"/>
  <c r="D92" i="21"/>
  <c r="D96" i="21"/>
  <c r="D100" i="21"/>
  <c r="D104" i="21"/>
  <c r="D108" i="21"/>
  <c r="D112" i="21"/>
  <c r="D51" i="21"/>
  <c r="D55" i="21"/>
  <c r="D59" i="21"/>
  <c r="D63" i="21"/>
  <c r="D67" i="21"/>
  <c r="D71" i="21"/>
  <c r="D22" i="21"/>
  <c r="D35" i="21"/>
  <c r="D189" i="21"/>
  <c r="D164" i="21"/>
  <c r="D118" i="21"/>
  <c r="D126" i="21"/>
  <c r="D138" i="21"/>
  <c r="D150" i="21"/>
  <c r="D89" i="21"/>
  <c r="D105" i="21"/>
  <c r="D52" i="21"/>
  <c r="D64" i="21"/>
  <c r="D19" i="21"/>
  <c r="C226" i="21" s="1"/>
  <c r="C227" i="21" s="1"/>
  <c r="J91" i="20" s="1"/>
  <c r="D32" i="21"/>
  <c r="D40" i="21"/>
  <c r="D182" i="21"/>
  <c r="D186" i="21"/>
  <c r="D190" i="21"/>
  <c r="D157" i="21"/>
  <c r="D161" i="21"/>
  <c r="D165" i="21"/>
  <c r="D169" i="21"/>
  <c r="D173" i="21"/>
  <c r="D119" i="21"/>
  <c r="D123" i="21"/>
  <c r="D127" i="21"/>
  <c r="D131" i="21"/>
  <c r="D135" i="21"/>
  <c r="D139" i="21"/>
  <c r="D143" i="21"/>
  <c r="D147" i="21"/>
  <c r="D151" i="21"/>
  <c r="D78" i="21"/>
  <c r="D82" i="21"/>
  <c r="D86" i="21"/>
  <c r="D90" i="21"/>
  <c r="D94" i="21"/>
  <c r="D98" i="21"/>
  <c r="D102" i="21"/>
  <c r="D106" i="21"/>
  <c r="D110" i="21"/>
  <c r="D76" i="21"/>
  <c r="D53" i="21"/>
  <c r="D57" i="21"/>
  <c r="D61" i="21"/>
  <c r="D65" i="21"/>
  <c r="D69" i="21"/>
  <c r="D49" i="21"/>
  <c r="D20" i="21"/>
  <c r="D25" i="21"/>
  <c r="D29" i="21"/>
  <c r="D33" i="21"/>
  <c r="D37" i="21"/>
  <c r="D41" i="21"/>
  <c r="D45" i="21"/>
  <c r="D18" i="21"/>
  <c r="D27" i="21"/>
  <c r="D43" i="21"/>
  <c r="D185" i="21"/>
  <c r="D160" i="21"/>
  <c r="D168" i="21"/>
  <c r="D122" i="21"/>
  <c r="D134" i="21"/>
  <c r="D146" i="21"/>
  <c r="D81" i="21"/>
  <c r="D93" i="21"/>
  <c r="D101" i="21"/>
  <c r="D109" i="21"/>
  <c r="D56" i="21"/>
  <c r="D68" i="21"/>
  <c r="D23" i="21"/>
  <c r="D36" i="21"/>
  <c r="D237" i="21"/>
  <c r="D209" i="21" l="1"/>
  <c r="C197" i="21"/>
  <c r="C224" i="21"/>
  <c r="D242" i="21" s="1"/>
  <c r="C225" i="21"/>
  <c r="C229" i="21"/>
  <c r="H241" i="21"/>
  <c r="I241" i="21" s="1"/>
  <c r="J241" i="21" s="1"/>
  <c r="K241" i="21" s="1"/>
  <c r="L241" i="21" s="1"/>
  <c r="M241" i="21" s="1"/>
  <c r="D214" i="21" l="1"/>
  <c r="D212" i="21"/>
  <c r="D215" i="21"/>
  <c r="D213" i="21"/>
  <c r="C243" i="21"/>
  <c r="E242" i="21"/>
  <c r="F242" i="21" s="1"/>
  <c r="G242" i="21" s="1"/>
  <c r="H242" i="21" s="1"/>
  <c r="I242" i="21" s="1"/>
  <c r="J242" i="21" s="1"/>
  <c r="K242" i="21" s="1"/>
  <c r="L242" i="21" s="1"/>
  <c r="M242" i="21" s="1"/>
  <c r="N242" i="21" s="1"/>
  <c r="O242" i="21" s="1"/>
  <c r="P242" i="21" s="1"/>
  <c r="Q242" i="21" s="1"/>
  <c r="R242" i="21" s="1"/>
  <c r="S242" i="21" s="1"/>
  <c r="T242" i="21" s="1"/>
  <c r="U242" i="21" s="1"/>
  <c r="V242" i="21" s="1"/>
  <c r="W242" i="21" s="1"/>
  <c r="X242" i="21" s="1"/>
  <c r="Y242" i="21" s="1"/>
  <c r="Z242" i="21" s="1"/>
  <c r="AA242" i="21" s="1"/>
  <c r="AB242" i="21" s="1"/>
  <c r="AC242" i="21" s="1"/>
  <c r="AD242" i="21" s="1"/>
  <c r="AE242" i="21" s="1"/>
  <c r="AF242" i="21" s="1"/>
  <c r="AG242" i="21" s="1"/>
  <c r="AH242" i="21" s="1"/>
  <c r="AI242" i="21" s="1"/>
  <c r="AJ242" i="21" s="1"/>
  <c r="AK242" i="21" s="1"/>
  <c r="AL242" i="21" s="1"/>
  <c r="AM242" i="21" s="1"/>
  <c r="AN242" i="21" s="1"/>
  <c r="AO242" i="21" s="1"/>
  <c r="AP242" i="21" s="1"/>
  <c r="AQ242" i="21" s="1"/>
  <c r="N241" i="21"/>
  <c r="C244" i="21" l="1"/>
  <c r="D243" i="21"/>
  <c r="D244" i="21" s="1"/>
  <c r="O241" i="21"/>
  <c r="D245" i="21" l="1"/>
  <c r="D246" i="21" s="1"/>
  <c r="E243" i="21"/>
  <c r="E244" i="21" s="1"/>
  <c r="E245" i="21" s="1"/>
  <c r="P241" i="21"/>
  <c r="F243" i="21" l="1"/>
  <c r="F244" i="21" s="1"/>
  <c r="F245" i="21" s="1"/>
  <c r="Q241" i="21"/>
  <c r="G243" i="21" l="1"/>
  <c r="G244" i="21" s="1"/>
  <c r="G245" i="21" s="1"/>
  <c r="R241" i="21"/>
  <c r="H243" i="21" l="1"/>
  <c r="H244" i="21" s="1"/>
  <c r="H245" i="21" s="1"/>
  <c r="S241" i="21"/>
  <c r="I243" i="21" l="1"/>
  <c r="I244" i="21" s="1"/>
  <c r="I245" i="21" s="1"/>
  <c r="T241" i="21"/>
  <c r="J243" i="21" l="1"/>
  <c r="J244" i="21" s="1"/>
  <c r="J245" i="21" s="1"/>
  <c r="U241" i="21"/>
  <c r="K243" i="21" l="1"/>
  <c r="K244" i="21" s="1"/>
  <c r="K245" i="21" s="1"/>
  <c r="V241" i="21"/>
  <c r="L243" i="21" l="1"/>
  <c r="L244" i="21" s="1"/>
  <c r="L245" i="21" s="1"/>
  <c r="W241" i="21"/>
  <c r="M243" i="21" l="1"/>
  <c r="M244" i="21" s="1"/>
  <c r="M245" i="21" s="1"/>
  <c r="X241" i="21"/>
  <c r="N243" i="21" l="1"/>
  <c r="N244" i="21" s="1"/>
  <c r="N245" i="21" s="1"/>
  <c r="Y241" i="21"/>
  <c r="O243" i="21" l="1"/>
  <c r="O244" i="21" s="1"/>
  <c r="O245" i="21" s="1"/>
  <c r="Z241" i="21"/>
  <c r="P243" i="21" l="1"/>
  <c r="P244" i="21" s="1"/>
  <c r="P245" i="21" s="1"/>
  <c r="AA241" i="21"/>
  <c r="Q243" i="21" l="1"/>
  <c r="Q244" i="21" s="1"/>
  <c r="Q245" i="21" s="1"/>
  <c r="AB241" i="21"/>
  <c r="R243" i="21" l="1"/>
  <c r="R244" i="21" s="1"/>
  <c r="R245" i="21" s="1"/>
  <c r="AC241" i="21"/>
  <c r="S243" i="21" l="1"/>
  <c r="S244" i="21" s="1"/>
  <c r="S245" i="21" s="1"/>
  <c r="AD241" i="21"/>
  <c r="T243" i="21" l="1"/>
  <c r="T244" i="21" s="1"/>
  <c r="T245" i="21" s="1"/>
  <c r="AE241" i="21"/>
  <c r="U243" i="21" l="1"/>
  <c r="U244" i="21" s="1"/>
  <c r="U245" i="21" s="1"/>
  <c r="AF241" i="21"/>
  <c r="V243" i="21" l="1"/>
  <c r="V244" i="21" s="1"/>
  <c r="V245" i="21" s="1"/>
  <c r="AG241" i="21"/>
  <c r="W243" i="21" l="1"/>
  <c r="W244" i="21" s="1"/>
  <c r="W245" i="21" s="1"/>
  <c r="AH241" i="21"/>
  <c r="X243" i="21" l="1"/>
  <c r="X244" i="21" s="1"/>
  <c r="X245" i="21" s="1"/>
  <c r="AI241" i="21"/>
  <c r="Y243" i="21" l="1"/>
  <c r="Y244" i="21" s="1"/>
  <c r="Y245" i="21" s="1"/>
  <c r="AJ241" i="21"/>
  <c r="Z243" i="21" l="1"/>
  <c r="Z244" i="21" s="1"/>
  <c r="Z245" i="21" s="1"/>
  <c r="AK241" i="21"/>
  <c r="AA243" i="21" l="1"/>
  <c r="AA244" i="21" s="1"/>
  <c r="AA245" i="21" s="1"/>
  <c r="AL241" i="21"/>
  <c r="AB243" i="21" l="1"/>
  <c r="AB244" i="21" s="1"/>
  <c r="AB245" i="21" s="1"/>
  <c r="AM241" i="21"/>
  <c r="AM244" i="21" s="1"/>
  <c r="AC243" i="21" l="1"/>
  <c r="AC244" i="21" s="1"/>
  <c r="AC245" i="21" s="1"/>
  <c r="AN241" i="21"/>
  <c r="AN244" i="21" s="1"/>
  <c r="AN245" i="21" s="1"/>
  <c r="AD243" i="21" l="1"/>
  <c r="AD244" i="21" s="1"/>
  <c r="AD245" i="21" s="1"/>
  <c r="AO241" i="21"/>
  <c r="AO244" i="21" s="1"/>
  <c r="AO245" i="21" s="1"/>
  <c r="AE243" i="21" l="1"/>
  <c r="AE244" i="21" s="1"/>
  <c r="AE245" i="21" s="1"/>
  <c r="AP241" i="21"/>
  <c r="AP244" i="21" s="1"/>
  <c r="AP245" i="21" s="1"/>
  <c r="AF243" i="21" l="1"/>
  <c r="AF244" i="21" s="1"/>
  <c r="AF245" i="21" s="1"/>
  <c r="AQ241" i="21"/>
  <c r="AQ244" i="21" s="1"/>
  <c r="AQ245" i="21" s="1"/>
  <c r="AG243" i="21" l="1"/>
  <c r="AG244" i="21" s="1"/>
  <c r="AG245" i="21" l="1"/>
  <c r="AH243" i="21"/>
  <c r="AH244" i="21" s="1"/>
  <c r="AH245" i="21" s="1"/>
  <c r="AI243" i="21" l="1"/>
  <c r="AI244" i="21" s="1"/>
  <c r="AI245" i="21" s="1"/>
  <c r="AJ243" i="21" l="1"/>
  <c r="AJ244" i="21" s="1"/>
  <c r="AJ245" i="21" s="1"/>
  <c r="AK243" i="21" l="1"/>
  <c r="AK244" i="21" s="1"/>
  <c r="AK245" i="21" s="1"/>
  <c r="AL243" i="21" l="1"/>
  <c r="AL244" i="21" s="1"/>
  <c r="AL245" i="21" l="1"/>
  <c r="AM245" i="21"/>
  <c r="AM243" i="21"/>
  <c r="C251" i="21" l="1"/>
  <c r="AN243" i="21"/>
  <c r="AO243" i="21" l="1"/>
  <c r="AP243" i="21" l="1"/>
  <c r="AQ243" i="21" l="1"/>
  <c r="F81" i="35" l="1"/>
  <c r="S20" i="39" s="1"/>
  <c r="F80" i="35"/>
  <c r="S19" i="39" s="1"/>
  <c r="D81" i="35"/>
  <c r="R20" i="39" s="1"/>
  <c r="D80" i="35"/>
  <c r="R19" i="39" s="1"/>
  <c r="L81" i="35"/>
  <c r="S31" i="39" s="1"/>
  <c r="L80" i="35"/>
  <c r="S30" i="39" s="1"/>
  <c r="K81" i="35"/>
  <c r="R31" i="39" s="1"/>
  <c r="K80" i="35"/>
  <c r="R30" i="39" s="1"/>
  <c r="I20" i="38"/>
  <c r="C40" i="38" s="1"/>
  <c r="AA40" i="39"/>
  <c r="Y30" i="39"/>
  <c r="Y29" i="39"/>
  <c r="U40" i="39"/>
  <c r="R40" i="39"/>
  <c r="U39" i="39"/>
  <c r="R39" i="39"/>
  <c r="R32" i="39"/>
  <c r="V28" i="39"/>
  <c r="O28" i="39"/>
  <c r="V27" i="39"/>
  <c r="O27" i="39"/>
  <c r="S21" i="39"/>
  <c r="V17" i="39"/>
  <c r="O17" i="39"/>
  <c r="V16" i="39"/>
  <c r="O16" i="39"/>
  <c r="L16" i="39"/>
  <c r="D39" i="39"/>
  <c r="E52" i="29"/>
  <c r="K41" i="38"/>
  <c r="G41" i="38"/>
  <c r="L40" i="38"/>
  <c r="K40" i="38"/>
  <c r="H40" i="38"/>
  <c r="G40" i="38"/>
  <c r="M106" i="35"/>
  <c r="M107" i="35"/>
  <c r="M108" i="35"/>
  <c r="M109" i="35"/>
  <c r="M110" i="35"/>
  <c r="M111" i="35"/>
  <c r="K106" i="35"/>
  <c r="K107" i="35"/>
  <c r="K108" i="35"/>
  <c r="K109" i="35"/>
  <c r="K110" i="35"/>
  <c r="K111" i="35"/>
  <c r="D152" i="35"/>
  <c r="N152" i="35"/>
  <c r="X40" i="39" s="1"/>
  <c r="I152" i="35"/>
  <c r="K101" i="35"/>
  <c r="M54" i="35"/>
  <c r="M55" i="35"/>
  <c r="M56" i="35"/>
  <c r="M57" i="35"/>
  <c r="M58" i="35"/>
  <c r="M59" i="35"/>
  <c r="K54" i="35"/>
  <c r="K55" i="35"/>
  <c r="K56" i="35"/>
  <c r="K57" i="35"/>
  <c r="K58" i="35"/>
  <c r="K59" i="35"/>
  <c r="L79" i="35"/>
  <c r="S29" i="39" s="1"/>
  <c r="J19" i="16"/>
  <c r="E74" i="29"/>
  <c r="J28" i="16" s="1"/>
  <c r="K22" i="16"/>
  <c r="K18" i="16"/>
  <c r="K17" i="16"/>
  <c r="J17" i="33"/>
  <c r="D33" i="33" s="1"/>
  <c r="C17" i="39" s="1"/>
  <c r="E60" i="29"/>
  <c r="C60" i="29"/>
  <c r="F60" i="29"/>
  <c r="G60" i="29"/>
  <c r="F52" i="29"/>
  <c r="G52" i="29"/>
  <c r="C52" i="29"/>
  <c r="G59" i="29"/>
  <c r="K32" i="31"/>
  <c r="AA39" i="39" s="1"/>
  <c r="E34" i="31"/>
  <c r="F32" i="31"/>
  <c r="Y27" i="39" s="1"/>
  <c r="K136" i="35"/>
  <c r="K137" i="35"/>
  <c r="K138" i="35"/>
  <c r="K139" i="35"/>
  <c r="K140" i="35"/>
  <c r="M136" i="35"/>
  <c r="M137" i="35"/>
  <c r="M138" i="35"/>
  <c r="M139" i="35"/>
  <c r="M140" i="35"/>
  <c r="L78" i="35"/>
  <c r="S28" i="39" s="1"/>
  <c r="L77" i="35"/>
  <c r="S27" i="39" s="1"/>
  <c r="M33" i="35"/>
  <c r="M34" i="35"/>
  <c r="K33" i="35"/>
  <c r="K34" i="35"/>
  <c r="K35" i="35"/>
  <c r="K36" i="35"/>
  <c r="K37" i="35"/>
  <c r="K38" i="35"/>
  <c r="F79" i="35"/>
  <c r="S18" i="39" s="1"/>
  <c r="F78" i="35"/>
  <c r="S17" i="39" s="1"/>
  <c r="F77" i="35"/>
  <c r="S16" i="39" s="1"/>
  <c r="L27" i="39"/>
  <c r="J18" i="20"/>
  <c r="I25" i="30"/>
  <c r="K16" i="30"/>
  <c r="K17" i="30" s="1"/>
  <c r="L34" i="9"/>
  <c r="I39" i="39" s="1"/>
  <c r="H34" i="9"/>
  <c r="I27" i="39" s="1"/>
  <c r="L16" i="9"/>
  <c r="L27" i="9"/>
  <c r="M34" i="9" s="1"/>
  <c r="J39" i="39" s="1"/>
  <c r="D34" i="9"/>
  <c r="I16" i="39"/>
  <c r="L28" i="9"/>
  <c r="F39" i="39"/>
  <c r="G29" i="29"/>
  <c r="L27" i="16"/>
  <c r="L32" i="33"/>
  <c r="C39" i="39" s="1"/>
  <c r="H32" i="33"/>
  <c r="C27" i="39"/>
  <c r="E32" i="33"/>
  <c r="D16" i="39" s="1"/>
  <c r="O62" i="28"/>
  <c r="O122" i="28"/>
  <c r="O116" i="28" s="1"/>
  <c r="O120" i="28"/>
  <c r="P21" i="28"/>
  <c r="P30" i="28" s="1"/>
  <c r="O21" i="28"/>
  <c r="N25" i="28"/>
  <c r="N82" i="28" s="1"/>
  <c r="N26" i="28"/>
  <c r="N83" i="28" s="1"/>
  <c r="N27" i="28"/>
  <c r="N28" i="28"/>
  <c r="AA28" i="28" s="1"/>
  <c r="AA85" i="28" s="1"/>
  <c r="N29" i="28"/>
  <c r="AA29" i="28" s="1"/>
  <c r="AA86" i="28" s="1"/>
  <c r="N30" i="28"/>
  <c r="AA30" i="28" s="1"/>
  <c r="AA87" i="28" s="1"/>
  <c r="N31" i="28"/>
  <c r="N88" i="28"/>
  <c r="N32" i="28"/>
  <c r="AA32" i="28" s="1"/>
  <c r="AA89" i="28" s="1"/>
  <c r="N33" i="28"/>
  <c r="AA33" i="28" s="1"/>
  <c r="AA90" i="28" s="1"/>
  <c r="N34" i="28"/>
  <c r="N91" i="28"/>
  <c r="N35" i="28"/>
  <c r="N92" i="28" s="1"/>
  <c r="N36" i="28"/>
  <c r="AA36" i="28"/>
  <c r="AA93" i="28" s="1"/>
  <c r="N37" i="28"/>
  <c r="N94" i="28" s="1"/>
  <c r="N38" i="28"/>
  <c r="AA38" i="28" s="1"/>
  <c r="AA95" i="28" s="1"/>
  <c r="AA39" i="28"/>
  <c r="AA96" i="28"/>
  <c r="P96" i="28" s="1"/>
  <c r="AA40" i="28"/>
  <c r="AA97" i="28" s="1"/>
  <c r="AA41" i="28"/>
  <c r="AA98" i="28"/>
  <c r="O98" i="28" s="1"/>
  <c r="AA42" i="28"/>
  <c r="AA99" i="28" s="1"/>
  <c r="AA43" i="28"/>
  <c r="AA100" i="28" s="1"/>
  <c r="AA44" i="28"/>
  <c r="AA101" i="28" s="1"/>
  <c r="AA45" i="28"/>
  <c r="AA102" i="28"/>
  <c r="V102" i="28" s="1"/>
  <c r="AA46" i="28"/>
  <c r="AA103" i="28" s="1"/>
  <c r="AA47" i="28"/>
  <c r="AA104" i="28" s="1"/>
  <c r="AA48" i="28"/>
  <c r="AA105" i="28" s="1"/>
  <c r="AA49" i="28"/>
  <c r="AA106" i="28" s="1"/>
  <c r="AA50" i="28"/>
  <c r="AA107" i="28" s="1"/>
  <c r="AA51" i="28"/>
  <c r="AA108" i="28" s="1"/>
  <c r="AA52" i="28"/>
  <c r="AA109" i="28" s="1"/>
  <c r="AA53" i="28"/>
  <c r="AA110" i="28"/>
  <c r="Z110" i="28" s="1"/>
  <c r="O25" i="28"/>
  <c r="O24" i="28"/>
  <c r="Q21" i="28"/>
  <c r="Q46" i="28" s="1"/>
  <c r="R21" i="28"/>
  <c r="R47" i="28" s="1"/>
  <c r="S21" i="28"/>
  <c r="S49" i="28" s="1"/>
  <c r="T21" i="28"/>
  <c r="T41" i="28" s="1"/>
  <c r="U21" i="28"/>
  <c r="U31" i="28" s="1"/>
  <c r="V21" i="28"/>
  <c r="V49" i="28" s="1"/>
  <c r="W21" i="28"/>
  <c r="W47" i="28" s="1"/>
  <c r="X21" i="28"/>
  <c r="X34" i="28" s="1"/>
  <c r="Y21" i="28"/>
  <c r="Y27" i="28" s="1"/>
  <c r="Z21" i="28"/>
  <c r="Z27" i="28" s="1"/>
  <c r="E72" i="29"/>
  <c r="K121" i="35"/>
  <c r="K122" i="35"/>
  <c r="K123" i="35"/>
  <c r="K124" i="35"/>
  <c r="K125" i="35"/>
  <c r="M121" i="35"/>
  <c r="M122" i="35"/>
  <c r="M123" i="35"/>
  <c r="K129" i="35" s="1"/>
  <c r="M124" i="35"/>
  <c r="M125" i="35"/>
  <c r="M126" i="35"/>
  <c r="K94" i="35"/>
  <c r="N80" i="28"/>
  <c r="N24" i="28"/>
  <c r="N81" i="28" s="1"/>
  <c r="D173" i="27"/>
  <c r="D174" i="27" s="1"/>
  <c r="E153" i="27"/>
  <c r="E154" i="27" s="1"/>
  <c r="L23" i="9"/>
  <c r="L18" i="9"/>
  <c r="J32" i="34"/>
  <c r="J31" i="34"/>
  <c r="L15" i="30"/>
  <c r="L14" i="16"/>
  <c r="K21" i="35"/>
  <c r="L25" i="16"/>
  <c r="L26" i="16"/>
  <c r="L24" i="16"/>
  <c r="L15" i="16"/>
  <c r="L16" i="16"/>
  <c r="G16" i="29"/>
  <c r="G17" i="29"/>
  <c r="G18" i="29"/>
  <c r="G19" i="29"/>
  <c r="G20" i="29"/>
  <c r="G21" i="29"/>
  <c r="G22" i="29"/>
  <c r="G23" i="29"/>
  <c r="G24" i="29"/>
  <c r="G25" i="29"/>
  <c r="G26" i="29"/>
  <c r="G27" i="29"/>
  <c r="K19" i="16"/>
  <c r="G61" i="29"/>
  <c r="G62" i="29"/>
  <c r="G63" i="29"/>
  <c r="G64" i="29"/>
  <c r="G65" i="29"/>
  <c r="G66" i="29"/>
  <c r="G67" i="29"/>
  <c r="G68" i="29"/>
  <c r="G69" i="29"/>
  <c r="G70" i="29"/>
  <c r="F28" i="29"/>
  <c r="G30" i="29"/>
  <c r="G31" i="29"/>
  <c r="G32" i="29"/>
  <c r="G33" i="29"/>
  <c r="G34" i="29"/>
  <c r="G35" i="29"/>
  <c r="G36" i="29"/>
  <c r="G37" i="29"/>
  <c r="G38" i="29"/>
  <c r="G39" i="29"/>
  <c r="G40" i="29"/>
  <c r="G41" i="29"/>
  <c r="G42" i="29"/>
  <c r="G43" i="29"/>
  <c r="G44" i="29"/>
  <c r="G45" i="29"/>
  <c r="G46" i="29"/>
  <c r="G47" i="29"/>
  <c r="G48" i="29"/>
  <c r="G49" i="29"/>
  <c r="G50" i="29"/>
  <c r="G51" i="29"/>
  <c r="G53" i="29"/>
  <c r="G54" i="29"/>
  <c r="G55" i="29"/>
  <c r="G56" i="29"/>
  <c r="G57" i="29"/>
  <c r="G58" i="29"/>
  <c r="G15" i="29"/>
  <c r="J48" i="35"/>
  <c r="J69" i="35"/>
  <c r="J47" i="35"/>
  <c r="J68" i="35" s="1"/>
  <c r="K63" i="35"/>
  <c r="K82" i="35" s="1"/>
  <c r="K42" i="35"/>
  <c r="E82" i="35" s="1"/>
  <c r="M38" i="35"/>
  <c r="M37" i="35"/>
  <c r="M36" i="35"/>
  <c r="M35" i="35"/>
  <c r="H49" i="31"/>
  <c r="I49" i="31"/>
  <c r="D18" i="28"/>
  <c r="O26" i="28"/>
  <c r="O39" i="28"/>
  <c r="O47" i="28"/>
  <c r="O48" i="28"/>
  <c r="O49" i="28"/>
  <c r="O50" i="28"/>
  <c r="O51" i="28"/>
  <c r="O52" i="28"/>
  <c r="O53" i="28"/>
  <c r="N49" i="28"/>
  <c r="N106" i="28" s="1"/>
  <c r="N50" i="28"/>
  <c r="N107" i="28" s="1"/>
  <c r="N51" i="28"/>
  <c r="N108" i="28" s="1"/>
  <c r="N52" i="28"/>
  <c r="N109" i="28" s="1"/>
  <c r="N53" i="28"/>
  <c r="N110" i="28" s="1"/>
  <c r="N48" i="28"/>
  <c r="N105" i="28" s="1"/>
  <c r="N47" i="28"/>
  <c r="N104" i="28" s="1"/>
  <c r="M24" i="27"/>
  <c r="M23" i="27"/>
  <c r="M20" i="27"/>
  <c r="K49" i="31"/>
  <c r="G21" i="28"/>
  <c r="G22" i="28"/>
  <c r="G23" i="28"/>
  <c r="O180" i="27"/>
  <c r="O209" i="27"/>
  <c r="O208" i="27"/>
  <c r="O207" i="27"/>
  <c r="O206" i="27"/>
  <c r="O205" i="27"/>
  <c r="O204" i="27"/>
  <c r="O203" i="27"/>
  <c r="O202" i="27"/>
  <c r="O201" i="27"/>
  <c r="O200" i="27"/>
  <c r="O189" i="27"/>
  <c r="O188" i="27"/>
  <c r="O187" i="27"/>
  <c r="O186" i="27"/>
  <c r="O185" i="27"/>
  <c r="O184" i="27"/>
  <c r="O183" i="27"/>
  <c r="O182" i="27"/>
  <c r="O181" i="27"/>
  <c r="E190" i="27" s="1"/>
  <c r="O169" i="27"/>
  <c r="O168" i="27"/>
  <c r="O167" i="27"/>
  <c r="O166" i="27"/>
  <c r="O165" i="27"/>
  <c r="O164" i="27"/>
  <c r="O163" i="27"/>
  <c r="O162" i="27"/>
  <c r="O161" i="27"/>
  <c r="E170" i="27" s="1"/>
  <c r="O160" i="27"/>
  <c r="G69" i="28"/>
  <c r="G68" i="28"/>
  <c r="G65" i="28"/>
  <c r="G64" i="28"/>
  <c r="G62" i="28"/>
  <c r="G61" i="28"/>
  <c r="G60" i="28"/>
  <c r="G59" i="28"/>
  <c r="G58" i="28"/>
  <c r="G57" i="28"/>
  <c r="G56" i="28"/>
  <c r="G54" i="28"/>
  <c r="G53" i="28"/>
  <c r="G52" i="28"/>
  <c r="G51" i="28"/>
  <c r="G50" i="28"/>
  <c r="G49" i="28"/>
  <c r="G48" i="28"/>
  <c r="G47" i="28"/>
  <c r="O46" i="28"/>
  <c r="N46" i="28"/>
  <c r="N103" i="28"/>
  <c r="G46" i="28"/>
  <c r="O45" i="28"/>
  <c r="N45" i="28"/>
  <c r="N102" i="28"/>
  <c r="G45" i="28"/>
  <c r="O44" i="28"/>
  <c r="N44" i="28"/>
  <c r="N101" i="28"/>
  <c r="G44" i="28"/>
  <c r="O43" i="28"/>
  <c r="N43" i="28"/>
  <c r="N100" i="28"/>
  <c r="G43" i="28"/>
  <c r="O42" i="28"/>
  <c r="N42" i="28"/>
  <c r="N99" i="28"/>
  <c r="G42" i="28"/>
  <c r="O41" i="28"/>
  <c r="N41" i="28"/>
  <c r="N98" i="28"/>
  <c r="G41" i="28"/>
  <c r="O40" i="28"/>
  <c r="N40" i="28"/>
  <c r="N97" i="28"/>
  <c r="G40" i="28"/>
  <c r="N39" i="28"/>
  <c r="N96" i="28" s="1"/>
  <c r="G39" i="28"/>
  <c r="O38" i="28"/>
  <c r="G38" i="28"/>
  <c r="O37" i="28"/>
  <c r="G37" i="28"/>
  <c r="O36" i="28"/>
  <c r="G36" i="28"/>
  <c r="O35" i="28"/>
  <c r="G35" i="28"/>
  <c r="O34" i="28"/>
  <c r="G34" i="28"/>
  <c r="O33" i="28"/>
  <c r="G33" i="28"/>
  <c r="O32" i="28"/>
  <c r="G32" i="28"/>
  <c r="O31" i="28"/>
  <c r="G31" i="28"/>
  <c r="O30" i="28"/>
  <c r="G30" i="28"/>
  <c r="O29" i="28"/>
  <c r="G29" i="28"/>
  <c r="O28" i="28"/>
  <c r="G28" i="28"/>
  <c r="O27" i="28"/>
  <c r="G27" i="28"/>
  <c r="G26" i="28"/>
  <c r="G25" i="28"/>
  <c r="G24" i="28"/>
  <c r="D21" i="28"/>
  <c r="G20" i="28"/>
  <c r="G19" i="28"/>
  <c r="G18" i="28"/>
  <c r="G17" i="28"/>
  <c r="D17" i="28"/>
  <c r="G16" i="28"/>
  <c r="D16" i="28"/>
  <c r="O73" i="27"/>
  <c r="O72" i="27"/>
  <c r="O71" i="27"/>
  <c r="O70" i="27"/>
  <c r="O69" i="27"/>
  <c r="O68" i="27"/>
  <c r="O67" i="27"/>
  <c r="O66" i="27"/>
  <c r="O65" i="27"/>
  <c r="O64" i="27"/>
  <c r="O53" i="27"/>
  <c r="O52" i="27"/>
  <c r="O51" i="27"/>
  <c r="O50" i="27"/>
  <c r="O49" i="27"/>
  <c r="O48" i="27"/>
  <c r="O47" i="27"/>
  <c r="O46" i="27"/>
  <c r="O45" i="27"/>
  <c r="O44" i="27"/>
  <c r="C176" i="21"/>
  <c r="C154" i="21"/>
  <c r="C115" i="21"/>
  <c r="C74" i="21"/>
  <c r="C47" i="21"/>
  <c r="E35" i="9"/>
  <c r="D193" i="27"/>
  <c r="D194" i="27" s="1"/>
  <c r="D32" i="33"/>
  <c r="C16" i="39"/>
  <c r="I26" i="30"/>
  <c r="L40" i="39" s="1"/>
  <c r="L39" i="39"/>
  <c r="L33" i="33"/>
  <c r="C40" i="39"/>
  <c r="K144" i="35"/>
  <c r="AA24" i="28"/>
  <c r="AA81" i="28" s="1"/>
  <c r="H33" i="33"/>
  <c r="C28" i="39" s="1"/>
  <c r="E34" i="9"/>
  <c r="J16" i="39"/>
  <c r="K143" i="35"/>
  <c r="N151" i="35" s="1"/>
  <c r="X39" i="39" s="1"/>
  <c r="H35" i="9"/>
  <c r="I28" i="39" s="1"/>
  <c r="L35" i="9"/>
  <c r="I40" i="39"/>
  <c r="K113" i="35"/>
  <c r="AA35" i="28"/>
  <c r="AA92" i="28" s="1"/>
  <c r="K41" i="35"/>
  <c r="K40" i="35"/>
  <c r="R35" i="28"/>
  <c r="E210" i="27"/>
  <c r="Z39" i="28"/>
  <c r="P25" i="28"/>
  <c r="Y96" i="28"/>
  <c r="T42" i="28"/>
  <c r="AA34" i="28"/>
  <c r="AA91" i="28" s="1"/>
  <c r="N90" i="28"/>
  <c r="Y38" i="28"/>
  <c r="T47" i="28"/>
  <c r="T28" i="28"/>
  <c r="T34" i="28"/>
  <c r="T46" i="28"/>
  <c r="T48" i="28"/>
  <c r="T49" i="28"/>
  <c r="Z37" i="28"/>
  <c r="Y42" i="28"/>
  <c r="Z45" i="28"/>
  <c r="T39" i="28"/>
  <c r="Z32" i="28"/>
  <c r="U25" i="28"/>
  <c r="Z30" i="28"/>
  <c r="Z28" i="28"/>
  <c r="Z33" i="28"/>
  <c r="Z34" i="28"/>
  <c r="Z38" i="28"/>
  <c r="X98" i="28"/>
  <c r="Z46" i="28"/>
  <c r="Z26" i="28"/>
  <c r="U47" i="28"/>
  <c r="T25" i="28"/>
  <c r="Z25" i="28"/>
  <c r="Z41" i="28"/>
  <c r="Z51" i="28"/>
  <c r="Z53" i="28"/>
  <c r="Z44" i="28"/>
  <c r="Z43" i="28"/>
  <c r="N93" i="28"/>
  <c r="Z29" i="28"/>
  <c r="Z47" i="28"/>
  <c r="X22" i="28"/>
  <c r="X35" i="28"/>
  <c r="Q31" i="28"/>
  <c r="R98" i="28"/>
  <c r="Q38" i="28"/>
  <c r="Q47" i="28"/>
  <c r="Q36" i="28"/>
  <c r="X39" i="28"/>
  <c r="AA31" i="28"/>
  <c r="AA88" i="28" s="1"/>
  <c r="Q49" i="28"/>
  <c r="Q43" i="28"/>
  <c r="V35" i="28"/>
  <c r="P49" i="28"/>
  <c r="T98" i="28"/>
  <c r="Q24" i="28"/>
  <c r="Q54" i="28" s="1"/>
  <c r="U27" i="28"/>
  <c r="T40" i="28"/>
  <c r="T35" i="28"/>
  <c r="X31" i="28"/>
  <c r="U32" i="28"/>
  <c r="U41" i="28"/>
  <c r="U53" i="28"/>
  <c r="T38" i="28"/>
  <c r="T32" i="28"/>
  <c r="U42" i="28"/>
  <c r="Z49" i="28"/>
  <c r="Z42" i="28"/>
  <c r="R41" i="28"/>
  <c r="Z48" i="28"/>
  <c r="T43" i="28"/>
  <c r="R25" i="28"/>
  <c r="AA26" i="28"/>
  <c r="AA83" i="28" s="1"/>
  <c r="X26" i="28"/>
  <c r="T37" i="28"/>
  <c r="T26" i="28"/>
  <c r="Z40" i="28"/>
  <c r="Z52" i="28"/>
  <c r="U34" i="28"/>
  <c r="R51" i="28"/>
  <c r="X40" i="28"/>
  <c r="R43" i="28"/>
  <c r="Z36" i="28"/>
  <c r="Z24" i="28"/>
  <c r="Z54" i="28" s="1"/>
  <c r="T52" i="28"/>
  <c r="Z35" i="28"/>
  <c r="Z31" i="28"/>
  <c r="Z50" i="28"/>
  <c r="U39" i="28"/>
  <c r="R32" i="28"/>
  <c r="R40" i="28"/>
  <c r="U48" i="28"/>
  <c r="V30" i="28"/>
  <c r="V27" i="28"/>
  <c r="V26" i="28"/>
  <c r="V28" i="28"/>
  <c r="V37" i="28"/>
  <c r="Q40" i="28"/>
  <c r="Q25" i="28"/>
  <c r="V51" i="28"/>
  <c r="U37" i="28"/>
  <c r="U38" i="28"/>
  <c r="U36" i="28"/>
  <c r="Q45" i="28"/>
  <c r="V25" i="28"/>
  <c r="V33" i="28"/>
  <c r="U24" i="28"/>
  <c r="U54" i="28" s="1"/>
  <c r="V29" i="28"/>
  <c r="V43" i="28"/>
  <c r="Y45" i="28"/>
  <c r="Q29" i="28"/>
  <c r="P39" i="28"/>
  <c r="U28" i="28"/>
  <c r="P32" i="28"/>
  <c r="Y49" i="28"/>
  <c r="Q44" i="28"/>
  <c r="Q28" i="28"/>
  <c r="Q37" i="28"/>
  <c r="Q42" i="28"/>
  <c r="Q33" i="28"/>
  <c r="Q53" i="28"/>
  <c r="V50" i="28"/>
  <c r="V45" i="28"/>
  <c r="V42" i="28"/>
  <c r="U51" i="28"/>
  <c r="Q26" i="28"/>
  <c r="U26" i="28"/>
  <c r="Q52" i="28"/>
  <c r="Q30" i="28"/>
  <c r="V47" i="28"/>
  <c r="N89" i="28"/>
  <c r="R31" i="28"/>
  <c r="W39" i="28"/>
  <c r="V98" i="28"/>
  <c r="R34" i="28"/>
  <c r="V32" i="28"/>
  <c r="R26" i="28"/>
  <c r="T45" i="28"/>
  <c r="Y30" i="28"/>
  <c r="R52" i="28"/>
  <c r="W46" i="28"/>
  <c r="V31" i="28"/>
  <c r="R53" i="28"/>
  <c r="R27" i="28"/>
  <c r="P29" i="28"/>
  <c r="Y37" i="28"/>
  <c r="R44" i="28"/>
  <c r="R46" i="28"/>
  <c r="P22" i="28"/>
  <c r="R29" i="28"/>
  <c r="W45" i="28"/>
  <c r="R42" i="28"/>
  <c r="R28" i="28"/>
  <c r="R24" i="28"/>
  <c r="R38" i="28"/>
  <c r="R49" i="28"/>
  <c r="P46" i="28"/>
  <c r="R39" i="28"/>
  <c r="P24" i="28"/>
  <c r="V46" i="28"/>
  <c r="V36" i="28"/>
  <c r="V24" i="28"/>
  <c r="V54" i="28" s="1"/>
  <c r="V38" i="28"/>
  <c r="R37" i="28"/>
  <c r="R50" i="28"/>
  <c r="P26" i="28"/>
  <c r="V39" i="28"/>
  <c r="Y43" i="28"/>
  <c r="R33" i="28"/>
  <c r="T50" i="28"/>
  <c r="U98" i="28"/>
  <c r="V52" i="28"/>
  <c r="V34" i="28"/>
  <c r="R45" i="28"/>
  <c r="P98" i="28"/>
  <c r="W51" i="28"/>
  <c r="Q22" i="28"/>
  <c r="R30" i="28"/>
  <c r="T29" i="28"/>
  <c r="T44" i="28"/>
  <c r="V48" i="28"/>
  <c r="V40" i="28"/>
  <c r="V53" i="28"/>
  <c r="V41" i="28"/>
  <c r="V44" i="28"/>
  <c r="R36" i="28"/>
  <c r="P37" i="28"/>
  <c r="T31" i="28"/>
  <c r="R48" i="28"/>
  <c r="R102" i="28"/>
  <c r="S102" i="28"/>
  <c r="Q102" i="28"/>
  <c r="X24" i="28"/>
  <c r="X29" i="28"/>
  <c r="X38" i="28"/>
  <c r="X30" i="28"/>
  <c r="X36" i="28"/>
  <c r="X25" i="28"/>
  <c r="X27" i="28"/>
  <c r="X46" i="28"/>
  <c r="X48" i="28"/>
  <c r="X28" i="28"/>
  <c r="X41" i="28"/>
  <c r="X42" i="28"/>
  <c r="X37" i="28"/>
  <c r="S36" i="28"/>
  <c r="S46" i="28"/>
  <c r="U110" i="28"/>
  <c r="P110" i="28"/>
  <c r="R110" i="28"/>
  <c r="T110" i="28"/>
  <c r="O110" i="28"/>
  <c r="S110" i="28"/>
  <c r="N84" i="28"/>
  <c r="AA27" i="28"/>
  <c r="AA84" i="28" s="1"/>
  <c r="Y22" i="28"/>
  <c r="S22" i="28"/>
  <c r="U22" i="28"/>
  <c r="T22" i="28"/>
  <c r="Z22" i="28"/>
  <c r="R22" i="28"/>
  <c r="X32" i="28"/>
  <c r="S24" i="28"/>
  <c r="S54" i="28" s="1"/>
  <c r="Q110" i="28"/>
  <c r="X52" i="28"/>
  <c r="S38" i="28"/>
  <c r="W110" i="28"/>
  <c r="X50" i="28"/>
  <c r="N87" i="28"/>
  <c r="P38" i="28"/>
  <c r="P47" i="28"/>
  <c r="P45" i="28"/>
  <c r="P27" i="28"/>
  <c r="P48" i="28"/>
  <c r="P40" i="28"/>
  <c r="P36" i="28"/>
  <c r="P44" i="28"/>
  <c r="P35" i="28"/>
  <c r="P33" i="28"/>
  <c r="P31" i="28"/>
  <c r="P52" i="28"/>
  <c r="P43" i="28"/>
  <c r="P41" i="28"/>
  <c r="X45" i="28"/>
  <c r="X43" i="28"/>
  <c r="Y33" i="28"/>
  <c r="S51" i="28"/>
  <c r="V110" i="28"/>
  <c r="P34" i="28"/>
  <c r="Y44" i="28"/>
  <c r="S98" i="28"/>
  <c r="Z98" i="28"/>
  <c r="Q98" i="28"/>
  <c r="Y98" i="28"/>
  <c r="W98" i="28"/>
  <c r="X44" i="28"/>
  <c r="V22" i="28"/>
  <c r="X49" i="28"/>
  <c r="S40" i="28"/>
  <c r="Y110" i="28"/>
  <c r="P50" i="28"/>
  <c r="P42" i="28"/>
  <c r="X47" i="28"/>
  <c r="X110" i="28"/>
  <c r="N95" i="28"/>
  <c r="Y29" i="28"/>
  <c r="Y35" i="28"/>
  <c r="Y50" i="28"/>
  <c r="Y41" i="28"/>
  <c r="Y47" i="28"/>
  <c r="Y36" i="28"/>
  <c r="Y52" i="28"/>
  <c r="Y25" i="28"/>
  <c r="Y53" i="28"/>
  <c r="Y34" i="28"/>
  <c r="Y31" i="28"/>
  <c r="Y26" i="28"/>
  <c r="Y46" i="28"/>
  <c r="Y39" i="28"/>
  <c r="Y40" i="28"/>
  <c r="Y32" i="28"/>
  <c r="Y51" i="28"/>
  <c r="Y48" i="28"/>
  <c r="O54" i="28"/>
  <c r="U96" i="28"/>
  <c r="X51" i="28"/>
  <c r="X53" i="28"/>
  <c r="Y24" i="28"/>
  <c r="Y54" i="28" s="1"/>
  <c r="P51" i="28"/>
  <c r="Y28" i="28"/>
  <c r="P28" i="28"/>
  <c r="P53" i="28"/>
  <c r="X33" i="28"/>
  <c r="T33" i="28"/>
  <c r="T30" i="28"/>
  <c r="T27" i="28"/>
  <c r="T51" i="28"/>
  <c r="T36" i="28"/>
  <c r="T24" i="28"/>
  <c r="T54" i="28"/>
  <c r="T53" i="28"/>
  <c r="W29" i="28"/>
  <c r="W33" i="28"/>
  <c r="U45" i="28"/>
  <c r="W52" i="28"/>
  <c r="U49" i="28"/>
  <c r="U30" i="28"/>
  <c r="N86" i="28"/>
  <c r="Q50" i="28"/>
  <c r="W53" i="28"/>
  <c r="U46" i="28"/>
  <c r="U35" i="28"/>
  <c r="U40" i="28"/>
  <c r="U43" i="28"/>
  <c r="U29" i="28"/>
  <c r="U44" i="28"/>
  <c r="U52" i="28"/>
  <c r="U33" i="28"/>
  <c r="U50" i="28"/>
  <c r="Q51" i="28"/>
  <c r="Q41" i="28"/>
  <c r="Q48" i="28"/>
  <c r="Q34" i="28"/>
  <c r="Q39" i="28"/>
  <c r="Q35" i="28"/>
  <c r="Q27" i="28"/>
  <c r="Q32" i="28"/>
  <c r="AA37" i="28"/>
  <c r="AA94" i="28" s="1"/>
  <c r="O94" i="28" s="1"/>
  <c r="J25" i="30"/>
  <c r="M39" i="39" s="1"/>
  <c r="D35" i="9"/>
  <c r="I17" i="39" s="1"/>
  <c r="I34" i="9"/>
  <c r="J27" i="39" s="1"/>
  <c r="C41" i="38"/>
  <c r="V81" i="28"/>
  <c r="R54" i="28"/>
  <c r="P54" i="28"/>
  <c r="W81" i="28"/>
  <c r="S81" i="28"/>
  <c r="T81" i="28"/>
  <c r="T84" i="28"/>
  <c r="W84" i="28"/>
  <c r="Y84" i="28"/>
  <c r="Z84" i="28"/>
  <c r="O84" i="28"/>
  <c r="P84" i="28"/>
  <c r="X84" i="28"/>
  <c r="U84" i="28"/>
  <c r="R84" i="28"/>
  <c r="V84" i="28"/>
  <c r="S84" i="28"/>
  <c r="Q84" i="28"/>
  <c r="X54" i="28"/>
  <c r="X81" i="28"/>
  <c r="Y81" i="28"/>
  <c r="R103" i="28" l="1"/>
  <c r="X103" i="28"/>
  <c r="Q103" i="28"/>
  <c r="P103" i="28"/>
  <c r="W103" i="28"/>
  <c r="V103" i="28"/>
  <c r="T103" i="28"/>
  <c r="Y103" i="28"/>
  <c r="O103" i="28"/>
  <c r="Z103" i="28"/>
  <c r="U103" i="28"/>
  <c r="S103" i="28"/>
  <c r="V105" i="28"/>
  <c r="P105" i="28"/>
  <c r="O105" i="28"/>
  <c r="Y105" i="28"/>
  <c r="W105" i="28"/>
  <c r="S105" i="28"/>
  <c r="X105" i="28"/>
  <c r="U105" i="28"/>
  <c r="R105" i="28"/>
  <c r="T105" i="28"/>
  <c r="Q105" i="28"/>
  <c r="Z105" i="28"/>
  <c r="P94" i="28"/>
  <c r="W32" i="28"/>
  <c r="W31" i="28"/>
  <c r="W41" i="28"/>
  <c r="S32" i="28"/>
  <c r="V96" i="28"/>
  <c r="S41" i="28"/>
  <c r="W22" i="28"/>
  <c r="S35" i="28"/>
  <c r="S48" i="28"/>
  <c r="T102" i="28"/>
  <c r="Z102" i="28"/>
  <c r="O102" i="28"/>
  <c r="W44" i="28"/>
  <c r="W37" i="28"/>
  <c r="W96" i="28"/>
  <c r="W28" i="28"/>
  <c r="S43" i="28"/>
  <c r="S45" i="28"/>
  <c r="S53" i="28"/>
  <c r="Z96" i="28"/>
  <c r="O96" i="28"/>
  <c r="O115" i="28"/>
  <c r="W25" i="28"/>
  <c r="W34" i="28"/>
  <c r="W50" i="28"/>
  <c r="W30" i="28"/>
  <c r="S39" i="28"/>
  <c r="Q96" i="28"/>
  <c r="S31" i="28"/>
  <c r="S27" i="28"/>
  <c r="S26" i="28"/>
  <c r="S50" i="28"/>
  <c r="U102" i="28"/>
  <c r="X102" i="28"/>
  <c r="P102" i="28"/>
  <c r="W43" i="28"/>
  <c r="W49" i="28"/>
  <c r="W35" i="28"/>
  <c r="W36" i="28"/>
  <c r="W40" i="28"/>
  <c r="S44" i="28"/>
  <c r="T96" i="28"/>
  <c r="N85" i="28"/>
  <c r="AA25" i="28"/>
  <c r="AA82" i="28" s="1"/>
  <c r="K128" i="35"/>
  <c r="I151" i="35" s="1"/>
  <c r="T94" i="28"/>
  <c r="W94" i="28"/>
  <c r="W48" i="28"/>
  <c r="W27" i="28"/>
  <c r="W38" i="28"/>
  <c r="X96" i="28"/>
  <c r="R96" i="28"/>
  <c r="S96" i="28"/>
  <c r="S47" i="28"/>
  <c r="S29" i="28"/>
  <c r="S30" i="28"/>
  <c r="S52" i="28"/>
  <c r="S42" i="28"/>
  <c r="S34" i="28"/>
  <c r="S37" i="28"/>
  <c r="S33" i="28"/>
  <c r="Y102" i="28"/>
  <c r="W102" i="28"/>
  <c r="W26" i="28"/>
  <c r="W24" i="28"/>
  <c r="W54" i="28" s="1"/>
  <c r="W42" i="28"/>
  <c r="S28" i="28"/>
  <c r="S25" i="28"/>
  <c r="K114" i="35"/>
  <c r="D151" i="35" s="1"/>
  <c r="D37" i="27"/>
  <c r="D38" i="27" s="1"/>
  <c r="L17" i="39" s="1"/>
  <c r="L41" i="16"/>
  <c r="L43" i="16" s="1"/>
  <c r="J22" i="16"/>
  <c r="D40" i="16" s="1"/>
  <c r="F16" i="39" s="1"/>
  <c r="K62" i="35"/>
  <c r="K61" i="35"/>
  <c r="D58" i="27"/>
  <c r="L28" i="39" s="1"/>
  <c r="F41" i="39"/>
  <c r="K28" i="16"/>
  <c r="I40" i="16" s="1"/>
  <c r="G27" i="39" s="1"/>
  <c r="H40" i="16"/>
  <c r="F27" i="39" s="1"/>
  <c r="H41" i="16"/>
  <c r="F28" i="39" s="1"/>
  <c r="E74" i="27"/>
  <c r="E54" i="27"/>
  <c r="X94" i="28"/>
  <c r="Z94" i="28"/>
  <c r="R94" i="28"/>
  <c r="U108" i="28"/>
  <c r="Q108" i="28"/>
  <c r="W108" i="28"/>
  <c r="Y108" i="28"/>
  <c r="S108" i="28"/>
  <c r="O108" i="28"/>
  <c r="V108" i="28"/>
  <c r="R108" i="28"/>
  <c r="Z108" i="28"/>
  <c r="P108" i="28"/>
  <c r="X108" i="28"/>
  <c r="T108" i="28"/>
  <c r="P99" i="28"/>
  <c r="S99" i="28"/>
  <c r="Y99" i="28"/>
  <c r="T99" i="28"/>
  <c r="X99" i="28"/>
  <c r="W99" i="28"/>
  <c r="U99" i="28"/>
  <c r="V99" i="28"/>
  <c r="Z99" i="28"/>
  <c r="R99" i="28"/>
  <c r="Q99" i="28"/>
  <c r="O99" i="28"/>
  <c r="W85" i="28"/>
  <c r="Q85" i="28"/>
  <c r="X85" i="28"/>
  <c r="S85" i="28"/>
  <c r="U85" i="28"/>
  <c r="P85" i="28"/>
  <c r="R85" i="28"/>
  <c r="O85" i="28"/>
  <c r="Y85" i="28"/>
  <c r="Z85" i="28"/>
  <c r="V85" i="28"/>
  <c r="T85" i="28"/>
  <c r="P88" i="28"/>
  <c r="Z88" i="28"/>
  <c r="O88" i="28"/>
  <c r="U88" i="28"/>
  <c r="Q88" i="28"/>
  <c r="Y88" i="28"/>
  <c r="V88" i="28"/>
  <c r="X88" i="28"/>
  <c r="W88" i="28"/>
  <c r="T88" i="28"/>
  <c r="S88" i="28"/>
  <c r="R88" i="28"/>
  <c r="S92" i="28"/>
  <c r="P92" i="28"/>
  <c r="X92" i="28"/>
  <c r="Y92" i="28"/>
  <c r="R92" i="28"/>
  <c r="U92" i="28"/>
  <c r="V92" i="28"/>
  <c r="Z92" i="28"/>
  <c r="O92" i="28"/>
  <c r="T92" i="28"/>
  <c r="W92" i="28"/>
  <c r="Q92" i="28"/>
  <c r="P107" i="28"/>
  <c r="Y107" i="28"/>
  <c r="W107" i="28"/>
  <c r="X107" i="28"/>
  <c r="Z107" i="28"/>
  <c r="U107" i="28"/>
  <c r="V107" i="28"/>
  <c r="O107" i="28"/>
  <c r="S107" i="28"/>
  <c r="T107" i="28"/>
  <c r="R107" i="28"/>
  <c r="Q107" i="28"/>
  <c r="T104" i="28"/>
  <c r="W104" i="28"/>
  <c r="U104" i="28"/>
  <c r="Y104" i="28"/>
  <c r="R104" i="28"/>
  <c r="S104" i="28"/>
  <c r="V104" i="28"/>
  <c r="X104" i="28"/>
  <c r="Q104" i="28"/>
  <c r="O104" i="28"/>
  <c r="P104" i="28"/>
  <c r="Z104" i="28"/>
  <c r="O93" i="28"/>
  <c r="Q93" i="28"/>
  <c r="U93" i="28"/>
  <c r="X93" i="28"/>
  <c r="V93" i="28"/>
  <c r="P93" i="28"/>
  <c r="W93" i="28"/>
  <c r="Y93" i="28"/>
  <c r="R93" i="28"/>
  <c r="Z93" i="28"/>
  <c r="T93" i="28"/>
  <c r="S93" i="28"/>
  <c r="Y94" i="28"/>
  <c r="S94" i="28"/>
  <c r="U94" i="28"/>
  <c r="O81" i="28"/>
  <c r="Z81" i="28"/>
  <c r="R81" i="28"/>
  <c r="Q81" i="28"/>
  <c r="U81" i="28"/>
  <c r="P81" i="28"/>
  <c r="W106" i="28"/>
  <c r="P106" i="28"/>
  <c r="Q106" i="28"/>
  <c r="Z106" i="28"/>
  <c r="X106" i="28"/>
  <c r="Y106" i="28"/>
  <c r="V106" i="28"/>
  <c r="O106" i="28"/>
  <c r="U106" i="28"/>
  <c r="T106" i="28"/>
  <c r="R106" i="28"/>
  <c r="S106" i="28"/>
  <c r="U101" i="28"/>
  <c r="X101" i="28"/>
  <c r="Z101" i="28"/>
  <c r="P101" i="28"/>
  <c r="Y101" i="28"/>
  <c r="R101" i="28"/>
  <c r="O101" i="28"/>
  <c r="W101" i="28"/>
  <c r="T101" i="28"/>
  <c r="Q101" i="28"/>
  <c r="S101" i="28"/>
  <c r="V101" i="28"/>
  <c r="W95" i="28"/>
  <c r="Q95" i="28"/>
  <c r="Y95" i="28"/>
  <c r="T95" i="28"/>
  <c r="U95" i="28"/>
  <c r="X95" i="28"/>
  <c r="P95" i="28"/>
  <c r="Z95" i="28"/>
  <c r="R95" i="28"/>
  <c r="S95" i="28"/>
  <c r="V95" i="28"/>
  <c r="O95" i="28"/>
  <c r="S90" i="28"/>
  <c r="X90" i="28"/>
  <c r="R90" i="28"/>
  <c r="T90" i="28"/>
  <c r="O90" i="28"/>
  <c r="Z90" i="28"/>
  <c r="Q90" i="28"/>
  <c r="Y90" i="28"/>
  <c r="V90" i="28"/>
  <c r="U90" i="28"/>
  <c r="W90" i="28"/>
  <c r="P90" i="28"/>
  <c r="X87" i="28"/>
  <c r="Y87" i="28"/>
  <c r="V87" i="28"/>
  <c r="O87" i="28"/>
  <c r="W87" i="28"/>
  <c r="S87" i="28"/>
  <c r="T87" i="28"/>
  <c r="R87" i="28"/>
  <c r="P87" i="28"/>
  <c r="Q87" i="28"/>
  <c r="Z87" i="28"/>
  <c r="U87" i="28"/>
  <c r="Q94" i="28"/>
  <c r="V94" i="28"/>
  <c r="Y83" i="28"/>
  <c r="T83" i="28"/>
  <c r="P83" i="28"/>
  <c r="S83" i="28"/>
  <c r="Q83" i="28"/>
  <c r="X83" i="28"/>
  <c r="O83" i="28"/>
  <c r="Z83" i="28"/>
  <c r="W83" i="28"/>
  <c r="R83" i="28"/>
  <c r="V83" i="28"/>
  <c r="U83" i="28"/>
  <c r="Q91" i="28"/>
  <c r="S91" i="28"/>
  <c r="T91" i="28"/>
  <c r="U91" i="28"/>
  <c r="W91" i="28"/>
  <c r="Y91" i="28"/>
  <c r="R91" i="28"/>
  <c r="Z91" i="28"/>
  <c r="P91" i="28"/>
  <c r="V91" i="28"/>
  <c r="X91" i="28"/>
  <c r="O91" i="28"/>
  <c r="T82" i="28"/>
  <c r="S82" i="28"/>
  <c r="V82" i="28"/>
  <c r="O82" i="28"/>
  <c r="U82" i="28"/>
  <c r="P82" i="28"/>
  <c r="Z82" i="28"/>
  <c r="R82" i="28"/>
  <c r="Q82" i="28"/>
  <c r="X82" i="28"/>
  <c r="Y82" i="28"/>
  <c r="W82" i="28"/>
  <c r="W111" i="28" s="1"/>
  <c r="T109" i="28"/>
  <c r="W109" i="28"/>
  <c r="R109" i="28"/>
  <c r="P109" i="28"/>
  <c r="Y109" i="28"/>
  <c r="U109" i="28"/>
  <c r="Q109" i="28"/>
  <c r="X109" i="28"/>
  <c r="O109" i="28"/>
  <c r="Z109" i="28"/>
  <c r="V109" i="28"/>
  <c r="S109" i="28"/>
  <c r="Q100" i="28"/>
  <c r="V100" i="28"/>
  <c r="S100" i="28"/>
  <c r="U100" i="28"/>
  <c r="X100" i="28"/>
  <c r="W100" i="28"/>
  <c r="Y100" i="28"/>
  <c r="R100" i="28"/>
  <c r="T100" i="28"/>
  <c r="P100" i="28"/>
  <c r="O100" i="28"/>
  <c r="Z100" i="28"/>
  <c r="T97" i="28"/>
  <c r="Y97" i="28"/>
  <c r="Q97" i="28"/>
  <c r="R97" i="28"/>
  <c r="P97" i="28"/>
  <c r="O97" i="28"/>
  <c r="W97" i="28"/>
  <c r="X97" i="28"/>
  <c r="V97" i="28"/>
  <c r="U97" i="28"/>
  <c r="Z97" i="28"/>
  <c r="S97" i="28"/>
  <c r="W89" i="28"/>
  <c r="R89" i="28"/>
  <c r="U89" i="28"/>
  <c r="O89" i="28"/>
  <c r="Q89" i="28"/>
  <c r="X89" i="28"/>
  <c r="Z89" i="28"/>
  <c r="S89" i="28"/>
  <c r="P89" i="28"/>
  <c r="T89" i="28"/>
  <c r="V89" i="28"/>
  <c r="Y89" i="28"/>
  <c r="T86" i="28"/>
  <c r="Y86" i="28"/>
  <c r="Z86" i="28"/>
  <c r="S86" i="28"/>
  <c r="Q86" i="28"/>
  <c r="W86" i="28"/>
  <c r="R86" i="28"/>
  <c r="U86" i="28"/>
  <c r="X86" i="28"/>
  <c r="V86" i="28"/>
  <c r="P86" i="28"/>
  <c r="O86" i="28"/>
  <c r="E35" i="31"/>
  <c r="Y28" i="39"/>
  <c r="J33" i="31"/>
  <c r="D201" i="21"/>
  <c r="D202" i="21"/>
  <c r="D204" i="21"/>
  <c r="D216" i="21"/>
  <c r="D218" i="21" s="1"/>
  <c r="J96" i="20"/>
  <c r="F40" i="39" l="1"/>
  <c r="D41" i="16"/>
  <c r="F17" i="39" s="1"/>
  <c r="V111" i="28"/>
  <c r="X111" i="28"/>
  <c r="S111" i="28"/>
  <c r="P111" i="28"/>
  <c r="Z111" i="28"/>
  <c r="Q111" i="28"/>
  <c r="Y111" i="28"/>
  <c r="R111" i="28"/>
  <c r="T111" i="28"/>
  <c r="U111" i="28"/>
  <c r="O111" i="28"/>
  <c r="C230" i="21"/>
  <c r="J97" i="20" s="1"/>
  <c r="K44" i="20"/>
  <c r="K99" i="20"/>
  <c r="K87" i="20"/>
  <c r="J48" i="20"/>
  <c r="J56" i="20" s="1"/>
  <c r="O113" i="28" l="1"/>
  <c r="K24" i="20"/>
  <c r="O118" i="28" l="1"/>
  <c r="O117" i="28"/>
  <c r="AQ246" i="21"/>
  <c r="AQ247" i="21" s="1"/>
  <c r="AO246" i="21"/>
  <c r="AO247" i="21" s="1"/>
  <c r="AN246" i="21"/>
  <c r="AN247" i="21" s="1"/>
  <c r="AM246" i="21"/>
  <c r="AM247" i="21" s="1"/>
  <c r="AI246" i="21"/>
  <c r="AI247" i="21" s="1"/>
  <c r="AL246" i="21"/>
  <c r="AL247" i="21" s="1"/>
  <c r="AP246" i="21"/>
  <c r="AP247" i="21" s="1"/>
  <c r="AK246" i="21"/>
  <c r="AK247" i="21" s="1"/>
  <c r="AJ246" i="21"/>
  <c r="AJ247" i="21" s="1"/>
  <c r="E246" i="21"/>
  <c r="E247" i="21" s="1"/>
  <c r="D247" i="21"/>
  <c r="D248" i="21" s="1"/>
  <c r="F246" i="21"/>
  <c r="F247" i="21" s="1"/>
  <c r="G246" i="21"/>
  <c r="G247" i="21" s="1"/>
  <c r="H246" i="21"/>
  <c r="H247" i="21" s="1"/>
  <c r="I246" i="21"/>
  <c r="I247" i="21" s="1"/>
  <c r="J246" i="21"/>
  <c r="J247" i="21" s="1"/>
  <c r="K246" i="21"/>
  <c r="K247" i="21" s="1"/>
  <c r="L246" i="21"/>
  <c r="L247" i="21" s="1"/>
  <c r="M246" i="21"/>
  <c r="M247" i="21" s="1"/>
  <c r="N246" i="21"/>
  <c r="N247" i="21" s="1"/>
  <c r="O246" i="21"/>
  <c r="O247" i="21" s="1"/>
  <c r="P246" i="21"/>
  <c r="P247" i="21" s="1"/>
  <c r="P248" i="21" s="1"/>
  <c r="Q246" i="21"/>
  <c r="Q247" i="21" s="1"/>
  <c r="R246" i="21"/>
  <c r="R247" i="21" s="1"/>
  <c r="S246" i="21"/>
  <c r="S247" i="21" s="1"/>
  <c r="T246" i="21"/>
  <c r="U246" i="21"/>
  <c r="U247" i="21" s="1"/>
  <c r="V246" i="21"/>
  <c r="V247" i="21" s="1"/>
  <c r="W246" i="21"/>
  <c r="W247" i="21" s="1"/>
  <c r="X246" i="21"/>
  <c r="X247" i="21" s="1"/>
  <c r="Y246" i="21"/>
  <c r="Y247" i="21" s="1"/>
  <c r="Z246" i="21"/>
  <c r="Z247" i="21" s="1"/>
  <c r="AA246" i="21"/>
  <c r="AA247" i="21" s="1"/>
  <c r="AB246" i="21"/>
  <c r="AB247" i="21" s="1"/>
  <c r="AC246" i="21"/>
  <c r="AC247" i="21" s="1"/>
  <c r="AD246" i="21"/>
  <c r="AD247" i="21" s="1"/>
  <c r="AE246" i="21"/>
  <c r="AE247" i="21" s="1"/>
  <c r="AF246" i="21"/>
  <c r="AF247" i="21" s="1"/>
  <c r="AH246" i="21"/>
  <c r="AH247" i="21" s="1"/>
  <c r="AG246" i="21"/>
  <c r="AG247" i="21" s="1"/>
  <c r="J41" i="20"/>
  <c r="AL248" i="21"/>
  <c r="J57" i="20" l="1"/>
  <c r="O39" i="39" s="1"/>
  <c r="J55" i="20"/>
  <c r="T247" i="21"/>
  <c r="T248" i="21" s="1"/>
  <c r="AI248" i="21"/>
  <c r="AH248" i="21"/>
  <c r="AK248" i="21"/>
  <c r="W248" i="21"/>
  <c r="Y248" i="21"/>
  <c r="R248" i="21"/>
  <c r="AD248" i="21"/>
  <c r="AF248" i="21"/>
  <c r="Q248" i="21"/>
  <c r="S248" i="21"/>
  <c r="AG248" i="21"/>
  <c r="AC248" i="21"/>
  <c r="Z248" i="21"/>
  <c r="AE248" i="21"/>
  <c r="V248" i="21"/>
  <c r="AA248" i="21"/>
  <c r="AB248" i="21"/>
  <c r="X248" i="21"/>
  <c r="U248" i="21"/>
  <c r="O248" i="21"/>
  <c r="N248" i="21"/>
  <c r="H248" i="21"/>
  <c r="F248" i="21"/>
  <c r="M248" i="21"/>
  <c r="E248" i="21"/>
  <c r="I248" i="21"/>
  <c r="G248" i="21"/>
  <c r="K248" i="21"/>
  <c r="L248" i="21"/>
  <c r="D217" i="21"/>
  <c r="AM248" i="21"/>
  <c r="AO248" i="21"/>
  <c r="AP248" i="21"/>
  <c r="AQ248" i="21"/>
  <c r="AN248" i="21"/>
  <c r="J248" i="21"/>
  <c r="AJ248" i="21"/>
  <c r="C252" i="21" l="1"/>
  <c r="H108" i="20" s="1"/>
  <c r="H109" i="20" s="1"/>
  <c r="J58" i="20"/>
  <c r="O40" i="3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Aletea Madacki</author>
  </authors>
  <commentList>
    <comment ref="D21" authorId="0" shapeId="0" xr:uid="{00000000-0006-0000-0300-000001000000}">
      <text>
        <r>
          <rPr>
            <sz val="9"/>
            <color indexed="81"/>
            <rFont val="Calibri Light"/>
            <family val="2"/>
          </rPr>
          <t xml:space="preserve">Utilize esse campo para inserir outras informações sobre o objeto de análise.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Aletea Cristina Avila Madacki</author>
    <author>Natalia Lutti Hummel</author>
  </authors>
  <commentList>
    <comment ref="C37" authorId="0" shapeId="0" xr:uid="{00000000-0006-0000-0D00-000001000000}">
      <text>
        <r>
          <rPr>
            <sz val="9"/>
            <color indexed="81"/>
            <rFont val="Calibri Light"/>
            <family val="2"/>
          </rPr>
          <t>Valor da 2ª Comunicação Nacional (MCTI, 2010)</t>
        </r>
      </text>
    </comment>
    <comment ref="C63" authorId="0" shapeId="0" xr:uid="{00000000-0006-0000-0D00-000002000000}">
      <text>
        <r>
          <rPr>
            <sz val="9"/>
            <color indexed="81"/>
            <rFont val="Calibri Light"/>
            <family val="2"/>
          </rPr>
          <t>Valor da 2ª Comunicação Nacional (MCTI, 2010)</t>
        </r>
      </text>
    </comment>
    <comment ref="C170" authorId="0" shapeId="0" xr:uid="{00000000-0006-0000-0D00-000003000000}">
      <text>
        <r>
          <rPr>
            <sz val="9"/>
            <color indexed="81"/>
            <rFont val="Calibri Light"/>
            <family val="2"/>
          </rPr>
          <t>Valor da 2ª Comunicação Nacional (MCTI, 2010)</t>
        </r>
      </text>
    </comment>
    <comment ref="F202" authorId="1" shapeId="0" xr:uid="{00000000-0006-0000-0D00-000004000000}">
      <text>
        <r>
          <rPr>
            <sz val="9"/>
            <color indexed="81"/>
            <rFont val="Segoe UI"/>
            <family val="2"/>
          </rPr>
          <t>Terceira Comunicação Nacional do Brasil à Convenção-Quadro das Nações Unidas sobre Mudança do Clima – Volume III/ Ministério da Ciência, Tecnologia e Inovação. Brasília: Ministério da Ciência, Tecnologia e Inovação, 2016. (p. 293 -297)</t>
        </r>
      </text>
    </comment>
    <comment ref="B206" authorId="1" shapeId="0" xr:uid="{00000000-0006-0000-0D00-000005000000}">
      <text>
        <r>
          <rPr>
            <sz val="9"/>
            <color indexed="81"/>
            <rFont val="Segoe UI"/>
            <family val="2"/>
          </rPr>
          <t>Terceira Comunicação Nacional do Brasil à Convenção-Quadro das Nações Unidas sobre Mudança do Clima – Volume III/ Ministério da Ciência, Tecnologia e Inovação. Brasília: Ministério da Ciência, Tecnologia e Inovação, 2016. (p. 293 -297)</t>
        </r>
      </text>
    </comment>
    <comment ref="C227" authorId="1" shapeId="0" xr:uid="{00000000-0006-0000-0D00-000006000000}">
      <text>
        <r>
          <rPr>
            <sz val="9"/>
            <color indexed="81"/>
            <rFont val="Segoe UI"/>
            <family val="2"/>
          </rPr>
          <t xml:space="preserve">Considera o fator de redução médio de vegetação secundária, quando selecionado vegetação secundária.  Todas as áreas desmatada anteriormente, devem ser considerada floresta secundária.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Natalia Lutti Hummel</author>
  </authors>
  <commentList>
    <comment ref="L23" authorId="0" shapeId="0" xr:uid="{00000000-0006-0000-0F00-000001000000}">
      <text>
        <r>
          <rPr>
            <sz val="9"/>
            <color indexed="81"/>
            <rFont val="Calibri Light"/>
            <family val="2"/>
          </rPr>
          <t>Em sua unidade física comum (toneladas, etc.) e por ha.</t>
        </r>
      </text>
    </comment>
    <comment ref="L24" authorId="0" shapeId="0" xr:uid="{00000000-0006-0000-0F00-000002000000}">
      <text>
        <r>
          <rPr>
            <sz val="9"/>
            <color indexed="81"/>
            <rFont val="Calibri Light"/>
            <family val="2"/>
          </rPr>
          <t>Em sua unidade física comum (toneladas, etc.) e por ha.</t>
        </r>
      </text>
    </comment>
    <comment ref="L25" authorId="0" shapeId="0" xr:uid="{00000000-0006-0000-0F00-000003000000}">
      <text>
        <r>
          <rPr>
            <sz val="9"/>
            <color indexed="81"/>
            <rFont val="Calibri Light"/>
            <family val="2"/>
          </rPr>
          <t>Pode ser medido em colônias de abelhas alugadas, horas de trabalho de polinização manual ou outras unidades apropriadas, por ha</t>
        </r>
        <r>
          <rPr>
            <sz val="9"/>
            <color indexed="81"/>
            <rFont val="Tahoma"/>
            <family val="2"/>
          </rPr>
          <t xml:space="preserve">. </t>
        </r>
      </text>
    </comment>
    <comment ref="L26" authorId="0" shapeId="0" xr:uid="{00000000-0006-0000-0F00-000004000000}">
      <text>
        <r>
          <rPr>
            <sz val="9"/>
            <color indexed="81"/>
            <rFont val="Calibri Light"/>
            <family val="2"/>
          </rPr>
          <t>Em reais por esforço. Exemplo: R$/colônias ou R$/horas de trabalho manual de polinização.</t>
        </r>
      </text>
    </comment>
    <comment ref="L29" authorId="0" shapeId="0" xr:uid="{00000000-0006-0000-0F00-000005000000}">
      <text>
        <r>
          <rPr>
            <sz val="9"/>
            <color indexed="81"/>
            <rFont val="Calibri Light"/>
            <family val="2"/>
          </rPr>
          <t xml:space="preserve">Pode ser medida em colônias de abelhas alugadas ou horas trabalho de polinização manual por hectare. Se você já tiver o total, considere Ajn =1. </t>
        </r>
      </text>
    </comment>
    <comment ref="L30" authorId="0" shapeId="0" xr:uid="{00000000-0006-0000-0F00-000006000000}">
      <text>
        <r>
          <rPr>
            <sz val="9"/>
            <color indexed="81"/>
            <rFont val="Calibri Light"/>
            <family val="2"/>
          </rPr>
          <t>Em reais por esforço. Exemplo: R$/colônias ou R$/horas de trabalho manual de polinização.</t>
        </r>
      </text>
    </comment>
    <comment ref="C37" authorId="0" shapeId="0" xr:uid="{00000000-0006-0000-0F00-000007000000}">
      <text>
        <r>
          <rPr>
            <sz val="9"/>
            <color indexed="81"/>
            <rFont val="Calibri Light"/>
            <family val="2"/>
          </rPr>
          <t xml:space="preserve">Dependência de polinização por abelhas da cultura agrícola </t>
        </r>
        <r>
          <rPr>
            <i/>
            <sz val="9"/>
            <color indexed="81"/>
            <rFont val="Calibri Light"/>
            <family val="2"/>
          </rPr>
          <t>j</t>
        </r>
        <r>
          <rPr>
            <sz val="9"/>
            <color indexed="81"/>
            <rFont val="Calibri Light"/>
            <family val="2"/>
          </rPr>
          <t>.</t>
        </r>
      </text>
    </comment>
    <comment ref="C56" authorId="0" shapeId="0" xr:uid="{00000000-0006-0000-0F00-000008000000}">
      <text>
        <r>
          <rPr>
            <sz val="9"/>
            <color indexed="81"/>
            <rFont val="Calibri Light"/>
            <family val="2"/>
          </rPr>
          <t>Representa a parcela da produtividade dependente de polinização por abelhas e efetivamente realizada.</t>
        </r>
      </text>
    </comment>
    <comment ref="E57" authorId="0" shapeId="0" xr:uid="{00000000-0006-0000-0F00-000009000000}">
      <text>
        <r>
          <rPr>
            <sz val="9"/>
            <color indexed="81"/>
            <rFont val="Calibri Light"/>
            <family val="2"/>
          </rPr>
          <t>horas ou colônias necessárias</t>
        </r>
      </text>
    </comment>
    <comment ref="L89" authorId="0" shapeId="0" xr:uid="{00000000-0006-0000-0F00-00000A000000}">
      <text>
        <r>
          <rPr>
            <sz val="9"/>
            <color indexed="81"/>
            <rFont val="Calibri Light"/>
            <family val="2"/>
          </rPr>
          <t>Unidade física comum (toneladas, etc.)  por ha.</t>
        </r>
      </text>
    </comment>
    <comment ref="L90" authorId="0" shapeId="0" xr:uid="{00000000-0006-0000-0F00-00000B000000}">
      <text>
        <r>
          <rPr>
            <sz val="9"/>
            <color indexed="81"/>
            <rFont val="Calibri Light"/>
            <family val="2"/>
          </rPr>
          <t>Em R$ é mesma unidade física de Pmcaj.</t>
        </r>
      </text>
    </comment>
    <comment ref="L94" authorId="0" shapeId="0" xr:uid="{00000000-0006-0000-0F00-00000C000000}">
      <text>
        <r>
          <rPr>
            <sz val="9"/>
            <color indexed="81"/>
            <rFont val="Calibri Light"/>
            <family val="2"/>
          </rPr>
          <t>Unidade física comum (toneladas, etc.) e por ha.</t>
        </r>
      </text>
    </comment>
    <comment ref="C109" authorId="0" shapeId="0" xr:uid="{00000000-0006-0000-0F00-00000D000000}">
      <text>
        <r>
          <rPr>
            <sz val="9"/>
            <color indexed="81"/>
            <rFont val="Calibri Light"/>
            <family val="2"/>
          </rPr>
          <t xml:space="preserve">Caso o diagnóstico de campo envolva mais de uma área estudada, preencha para m1 os dados da área com maior riqueza de espécie.  </t>
        </r>
      </text>
    </comment>
    <comment ref="E110" authorId="0" shapeId="0" xr:uid="{00000000-0006-0000-0F00-00000E000000}">
      <text>
        <r>
          <rPr>
            <sz val="9"/>
            <color indexed="81"/>
            <rFont val="Calibri Light"/>
            <family val="2"/>
          </rPr>
          <t>Abundância = número de espécimes (indivíduos) da espécie i na área m, por ha</t>
        </r>
        <r>
          <rPr>
            <b/>
            <sz val="9"/>
            <color indexed="81"/>
            <rFont val="Tahoma"/>
            <family val="2"/>
          </rPr>
          <t>.</t>
        </r>
      </text>
    </comment>
    <comment ref="Q131" authorId="0" shapeId="0" xr:uid="{00000000-0006-0000-0F00-00000F000000}">
      <text>
        <r>
          <rPr>
            <sz val="9"/>
            <color indexed="81"/>
            <rFont val="Calibri Light"/>
            <family val="2"/>
          </rPr>
          <t>Distância entre a base das asas.</t>
        </r>
      </text>
    </comment>
    <comment ref="C193" authorId="0" shapeId="0" xr:uid="{00000000-0006-0000-0F00-000010000000}">
      <text>
        <r>
          <rPr>
            <sz val="9"/>
            <color indexed="81"/>
            <rFont val="Calibri Light"/>
            <family val="2"/>
          </rPr>
          <t>Percentual da produtividade máxima da cultura agrícola j de propriedade de terceiros que decorreu da polinização gerada na área da empresa.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Natalia Lutti Hummel</author>
  </authors>
  <commentList>
    <comment ref="F32" authorId="0" shapeId="0" xr:uid="{00000000-0006-0000-1100-000001000000}">
      <text>
        <r>
          <rPr>
            <sz val="9"/>
            <color indexed="81"/>
            <rFont val="Segoe UI"/>
            <family val="2"/>
          </rPr>
          <t>Área analisada, em há.</t>
        </r>
      </text>
    </comment>
    <comment ref="G32" authorId="0" shapeId="0" xr:uid="{00000000-0006-0000-1100-000002000000}">
      <text>
        <r>
          <rPr>
            <sz val="9"/>
            <color indexed="81"/>
            <rFont val="Segoe UI"/>
            <family val="2"/>
          </rPr>
          <t>Fator de erosividade da chuva na área a em MJ mm/há X h X ano</t>
        </r>
      </text>
    </comment>
    <comment ref="H32" authorId="0" shapeId="0" xr:uid="{00000000-0006-0000-1100-000003000000}">
      <text>
        <r>
          <rPr>
            <sz val="9"/>
            <color indexed="81"/>
            <rFont val="Segoe UI"/>
            <family val="2"/>
          </rPr>
          <t>Fator de erodibilidade do solo na área a em t X h/MJ X mm</t>
        </r>
      </text>
    </comment>
    <comment ref="I32" authorId="0" shapeId="0" xr:uid="{00000000-0006-0000-1100-000004000000}">
      <text>
        <r>
          <rPr>
            <sz val="9"/>
            <color indexed="81"/>
            <rFont val="Segoe UI"/>
            <family val="2"/>
          </rPr>
          <t>Fator de comprimento de rampa (composição entre o comprimentod e o grau de declividade de uma determianda área) na área a; é adminensional.</t>
        </r>
        <r>
          <rPr>
            <b/>
            <sz val="9"/>
            <color indexed="81"/>
            <rFont val="Segoe UI"/>
            <family val="2"/>
          </rPr>
          <t xml:space="preserve"> </t>
        </r>
      </text>
    </comment>
    <comment ref="J32" authorId="0" shapeId="0" xr:uid="{00000000-0006-0000-1100-000005000000}">
      <text>
        <r>
          <rPr>
            <sz val="9"/>
            <color indexed="81"/>
            <rFont val="Segoe UI"/>
            <family val="2"/>
          </rPr>
          <t xml:space="preserve">Fator de uso do solo (C) e prática de manejo (P) na área a que represente menor nível de erosão (máxima retenção do solo), ou seja cobertura nativa original. </t>
        </r>
      </text>
    </comment>
    <comment ref="K32" authorId="0" shapeId="0" xr:uid="{00000000-0006-0000-1100-000006000000}">
      <text>
        <r>
          <rPr>
            <sz val="9"/>
            <color indexed="81"/>
            <rFont val="Segoe UI"/>
            <family val="2"/>
          </rPr>
          <t>Erosão mínima do solo (máxima retenção do solo), em t/há X ano</t>
        </r>
      </text>
    </comment>
    <comment ref="L32" authorId="0" shapeId="0" xr:uid="{00000000-0006-0000-1100-000007000000}">
      <text>
        <r>
          <rPr>
            <sz val="9"/>
            <color indexed="81"/>
            <rFont val="Segoe UI"/>
            <family val="2"/>
          </rPr>
          <t xml:space="preserve">Fator de uso do solo (C) e prática de manejo (P) na área a que represente maior nível de erosão, ou seja, solo exposto. </t>
        </r>
      </text>
    </comment>
    <comment ref="M32" authorId="0" shapeId="0" xr:uid="{00000000-0006-0000-1100-000008000000}">
      <text>
        <r>
          <rPr>
            <sz val="9"/>
            <color indexed="81"/>
            <rFont val="Segoe UI"/>
            <family val="2"/>
          </rPr>
          <t>Erosão máxima do solo (solo exposto), em t/há X ano</t>
        </r>
      </text>
    </comment>
    <comment ref="F53" authorId="0" shapeId="0" xr:uid="{00000000-0006-0000-1100-000009000000}">
      <text>
        <r>
          <rPr>
            <sz val="9"/>
            <color indexed="81"/>
            <rFont val="Segoe UI"/>
            <family val="2"/>
          </rPr>
          <t>Área analisada, em há.</t>
        </r>
      </text>
    </comment>
    <comment ref="G53" authorId="0" shapeId="0" xr:uid="{00000000-0006-0000-1100-00000A000000}">
      <text>
        <r>
          <rPr>
            <sz val="9"/>
            <color indexed="81"/>
            <rFont val="Segoe UI"/>
            <family val="2"/>
          </rPr>
          <t>Fator de erosividade da chuva na área a em MJ mm/há X h X ano</t>
        </r>
      </text>
    </comment>
    <comment ref="H53" authorId="0" shapeId="0" xr:uid="{00000000-0006-0000-1100-00000B000000}">
      <text>
        <r>
          <rPr>
            <sz val="9"/>
            <color indexed="81"/>
            <rFont val="Segoe UI"/>
            <family val="2"/>
          </rPr>
          <t>Fator de erodibilidade do solo na área a em t X h/MJ X mm</t>
        </r>
      </text>
    </comment>
    <comment ref="I53" authorId="0" shapeId="0" xr:uid="{00000000-0006-0000-1100-00000C000000}">
      <text>
        <r>
          <rPr>
            <sz val="9"/>
            <color indexed="81"/>
            <rFont val="Segoe UI"/>
            <family val="2"/>
          </rPr>
          <t>Fator de comprimento de rampa (composição entre o comprimentod e o grau de declividade de uma determianda área) na área a; é adminensional.</t>
        </r>
        <r>
          <rPr>
            <b/>
            <sz val="9"/>
            <color indexed="81"/>
            <rFont val="Segoe UI"/>
            <family val="2"/>
          </rPr>
          <t xml:space="preserve"> </t>
        </r>
      </text>
    </comment>
    <comment ref="J53" authorId="0" shapeId="0" xr:uid="{00000000-0006-0000-1100-00000D000000}">
      <text>
        <r>
          <rPr>
            <sz val="9"/>
            <color indexed="81"/>
            <rFont val="Segoe UI"/>
            <family val="2"/>
          </rPr>
          <t xml:space="preserve">Fator de uso do solo (C) e prática de manejo (P) na área a que represente menor nível de erosão (máxima retenção do solo), ou seja cobertura nativa original. </t>
        </r>
      </text>
    </comment>
    <comment ref="K53" authorId="0" shapeId="0" xr:uid="{00000000-0006-0000-1100-00000E000000}">
      <text>
        <r>
          <rPr>
            <sz val="9"/>
            <color indexed="81"/>
            <rFont val="Segoe UI"/>
            <family val="2"/>
          </rPr>
          <t>Erosão mínima do solo (máxima retenção do solo), em t/há X ano</t>
        </r>
      </text>
    </comment>
    <comment ref="L53" authorId="0" shapeId="0" xr:uid="{00000000-0006-0000-1100-00000F000000}">
      <text>
        <r>
          <rPr>
            <sz val="9"/>
            <color indexed="81"/>
            <rFont val="Segoe UI"/>
            <family val="2"/>
          </rPr>
          <t>Fator de uso do solo (C) e prática de manejo (P) na área a que represente a situação atual  de erosão</t>
        </r>
      </text>
    </comment>
    <comment ref="M53" authorId="0" shapeId="0" xr:uid="{00000000-0006-0000-1100-000010000000}">
      <text>
        <r>
          <rPr>
            <sz val="9"/>
            <color indexed="81"/>
            <rFont val="Segoe UI"/>
            <family val="2"/>
          </rPr>
          <t>Erosão solo nas condições atuais, em t/há X ano</t>
        </r>
      </text>
    </comment>
    <comment ref="C76" authorId="0" shapeId="0" xr:uid="{00000000-0006-0000-1100-000011000000}">
      <text>
        <r>
          <rPr>
            <sz val="9"/>
            <color indexed="81"/>
            <rFont val="Calibri Light"/>
            <family val="2"/>
          </rPr>
          <t>Perda de nutrientes do solo</t>
        </r>
      </text>
    </comment>
    <comment ref="C151" authorId="0" shapeId="0" xr:uid="{00000000-0006-0000-1100-000012000000}">
      <text>
        <r>
          <rPr>
            <sz val="9"/>
            <color indexed="81"/>
            <rFont val="Calibri Light"/>
            <family val="2"/>
          </rPr>
          <t>Turbidez no corpo d’água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Natalia Lutti Hummel</author>
  </authors>
  <commentList>
    <comment ref="F33" authorId="0" shapeId="0" xr:uid="{00000000-0006-0000-1200-000001000000}">
      <text>
        <r>
          <rPr>
            <sz val="9"/>
            <color indexed="81"/>
            <rFont val="Calibri Light"/>
            <family val="2"/>
          </rPr>
          <t>http://ainfo.cnptia.embrapa.br/digital/bitstream/item/37310/1/28.pdf</t>
        </r>
        <r>
          <rPr>
            <b/>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Natalia Lutti Hummel</author>
  </authors>
  <commentList>
    <comment ref="B40" authorId="0" shapeId="0" xr:uid="{00000000-0006-0000-0400-000001000000}">
      <text>
        <r>
          <rPr>
            <sz val="9"/>
            <color indexed="81"/>
            <rFont val="Calibri Light"/>
            <family val="2"/>
          </rPr>
          <t>Dependência de quantidade do BEI demandado</t>
        </r>
      </text>
    </comment>
    <comment ref="B82" authorId="0" shapeId="0" xr:uid="{00000000-0006-0000-0400-000002000000}">
      <text>
        <r>
          <rPr>
            <sz val="9"/>
            <color indexed="81"/>
            <rFont val="Calibri Light"/>
            <family val="2"/>
          </rPr>
          <t>Dependência de quantidade do BEI demandado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Natalia Lutti Hummel</author>
  </authors>
  <commentList>
    <comment ref="C32" authorId="0" shapeId="0" xr:uid="{00000000-0006-0000-0500-000001000000}">
      <text>
        <r>
          <rPr>
            <sz val="9"/>
            <color indexed="81"/>
            <rFont val="Calibri Light"/>
            <family val="2"/>
          </rPr>
          <t>Dependência de quantidade de água.</t>
        </r>
      </text>
    </comment>
    <comment ref="G32" authorId="0" shapeId="0" xr:uid="{00000000-0006-0000-0500-000002000000}">
      <text>
        <r>
          <rPr>
            <sz val="9"/>
            <color indexed="81"/>
            <rFont val="Calibri Light"/>
            <family val="2"/>
          </rPr>
          <t>Déficit hídrico que efetivamente compromete os níveis de produção.</t>
        </r>
      </text>
    </comment>
    <comment ref="K32" authorId="0" shapeId="0" xr:uid="{00000000-0006-0000-0500-000003000000}">
      <text>
        <r>
          <rPr>
            <sz val="9"/>
            <color indexed="81"/>
            <rFont val="Calibri Light"/>
            <family val="2"/>
          </rPr>
          <t>Balanço hídrico do uso de água pela empresa.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Thais Camolesi Guimarães</author>
    <author>Natalia Lutti Hummel</author>
  </authors>
  <commentList>
    <comment ref="J16" authorId="0" shapeId="0" xr:uid="{00000000-0006-0000-0600-000001000000}">
      <text>
        <r>
          <rPr>
            <b/>
            <sz val="9"/>
            <color indexed="81"/>
            <rFont val="Segoe UI"/>
            <family val="2"/>
          </rPr>
          <t>Checar valores na aba de apoio</t>
        </r>
        <r>
          <rPr>
            <sz val="9"/>
            <color indexed="81"/>
            <rFont val="Segoe UI"/>
            <family val="2"/>
          </rPr>
          <t xml:space="preserve">
</t>
        </r>
      </text>
    </comment>
    <comment ref="J26" authorId="0" shapeId="0" xr:uid="{00000000-0006-0000-0600-000002000000}">
      <text>
        <r>
          <rPr>
            <b/>
            <sz val="9"/>
            <color indexed="81"/>
            <rFont val="Segoe UI"/>
            <family val="2"/>
          </rPr>
          <t>Checar valores na aba de apoio</t>
        </r>
        <r>
          <rPr>
            <sz val="9"/>
            <color indexed="81"/>
            <rFont val="Segoe UI"/>
            <family val="2"/>
          </rPr>
          <t xml:space="preserve">
</t>
        </r>
      </text>
    </comment>
    <comment ref="C40" authorId="1" shapeId="0" xr:uid="{00000000-0006-0000-0600-000003000000}">
      <text>
        <r>
          <rPr>
            <sz val="9"/>
            <color indexed="81"/>
            <rFont val="Calibri Light"/>
            <family val="2"/>
          </rPr>
          <t>Quantidade de biomassa combustível necessária para a produção ou prestação de serviços pela empresa.</t>
        </r>
      </text>
    </comment>
    <comment ref="G40" authorId="1" shapeId="0" xr:uid="{00000000-0006-0000-0600-000004000000}">
      <text>
        <r>
          <rPr>
            <sz val="9"/>
            <color indexed="81"/>
            <rFont val="Calibri Light"/>
            <family val="2"/>
          </rPr>
          <t>Impacto da perda de biomassa combustível.</t>
        </r>
      </text>
    </comment>
    <comment ref="K40" authorId="1" shapeId="0" xr:uid="{00000000-0006-0000-0600-000005000000}">
      <text>
        <r>
          <rPr>
            <sz val="9"/>
            <color indexed="81"/>
            <rFont val="Calibri Light"/>
            <family val="2"/>
          </rPr>
          <t>Externalidade associada à mudança de uso da terra em favor da produção de biomassa combustível.</t>
        </r>
      </text>
    </comment>
    <comment ref="K41" authorId="1" shapeId="0" xr:uid="{00000000-0006-0000-0600-000006000000}">
      <text>
        <r>
          <rPr>
            <sz val="9"/>
            <color indexed="81"/>
            <rFont val="Calibri Light"/>
            <family val="2"/>
          </rPr>
          <t>Externalidade decorrente de emissões evitadas de GEE da alternativa energética mais custo-eficaz para a empresa se tal alternativa for combustível fóssil.</t>
        </r>
      </text>
    </comment>
    <comment ref="K50" authorId="1" shapeId="0" xr:uid="{00000000-0006-0000-0600-000007000000}">
      <text>
        <r>
          <rPr>
            <sz val="9"/>
            <color indexed="81"/>
            <rFont val="Calibri Light"/>
            <family val="2"/>
          </rPr>
          <t>Externalidade decorrente de emissões evitadas de GEE da alternativa energética mais custo-eficaz para a empresa se tal alternativa for combustível fóssil.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Natalia Lutti Hummel</author>
    <author>Aletea Madacki</author>
  </authors>
  <commentList>
    <comment ref="E14" authorId="0" shapeId="0" xr:uid="{00000000-0006-0000-0700-000001000000}">
      <text>
        <r>
          <rPr>
            <sz val="9"/>
            <color indexed="81"/>
            <rFont val="Calibri Light"/>
            <family val="2"/>
          </rPr>
          <t>Considera também CH4 e N20. 
Foi utilizado o GWP do AR4 IPCC.</t>
        </r>
      </text>
    </comment>
    <comment ref="E52" authorId="1" shapeId="0" xr:uid="{00000000-0006-0000-0700-000002000000}">
      <text>
        <r>
          <rPr>
            <sz val="9"/>
            <color indexed="81"/>
            <rFont val="Calibri Light"/>
            <family val="2"/>
          </rPr>
          <t>Esse valor considera o CO2 biogênico referente à porcentagem do biocombustível da composição.</t>
        </r>
      </text>
    </comment>
    <comment ref="E60" authorId="1" shapeId="0" xr:uid="{00000000-0006-0000-0700-000003000000}">
      <text>
        <r>
          <rPr>
            <sz val="9"/>
            <color indexed="81"/>
            <rFont val="Calibri Light"/>
            <family val="2"/>
          </rPr>
          <t>Esse valor considera o CO2 biogênico referente à porcentagem do biodiesel da composição</t>
        </r>
        <r>
          <rPr>
            <sz val="9"/>
            <color indexed="81"/>
            <rFont val="Tahoma"/>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Natalia Lutti Hummel</author>
  </authors>
  <commentList>
    <comment ref="C34" authorId="0" shapeId="0" xr:uid="{00000000-0006-0000-0800-000001000000}">
      <text>
        <r>
          <rPr>
            <sz val="9"/>
            <color indexed="81"/>
            <rFont val="Calibri Light"/>
            <family val="2"/>
          </rPr>
          <t>Dependência da empresa em relação ao serviço ecossistêmico de regulação da qualidade da água.</t>
        </r>
      </text>
    </comment>
    <comment ref="G34" authorId="0" shapeId="0" xr:uid="{00000000-0006-0000-0800-000002000000}">
      <text>
        <r>
          <rPr>
            <sz val="9"/>
            <color indexed="81"/>
            <rFont val="Calibri Light"/>
            <family val="2"/>
          </rPr>
          <t>Impacto da ausência ou limitação de serviços ecossistêmicos na regulação da qualidade da água captada pela empresa</t>
        </r>
        <r>
          <rPr>
            <sz val="9"/>
            <color indexed="81"/>
            <rFont val="Tahoma"/>
            <family val="2"/>
          </rPr>
          <t>.</t>
        </r>
      </text>
    </comment>
    <comment ref="K34" authorId="0" shapeId="0" xr:uid="{00000000-0006-0000-0800-000003000000}">
      <text>
        <r>
          <rPr>
            <sz val="9"/>
            <color indexed="81"/>
            <rFont val="Calibri Light"/>
            <family val="2"/>
          </rPr>
          <t>Externalidade, ou impacto das atividades da empresa na qualidade da água utilizada por outros usuários que não a própria empresa.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Raquel Toledo Modesto de Souza</author>
  </authors>
  <commentList>
    <comment ref="A23" authorId="0" shapeId="0" xr:uid="{00000000-0006-0000-0900-000001000000}">
      <text>
        <r>
          <rPr>
            <sz val="9"/>
            <color indexed="81"/>
            <rFont val="Calibri Light"/>
            <family val="2"/>
          </rPr>
          <t>Para o uso de recreação de contato primário deverão ser obedecidos os padrões de qualidade de balneabilidade, previstos na Resolução CONAMA 274, de 2000.</t>
        </r>
      </text>
    </comment>
    <comment ref="D23" authorId="0" shapeId="0" xr:uid="{00000000-0006-0000-0900-000002000000}">
      <text>
        <r>
          <rPr>
            <sz val="9"/>
            <color indexed="81"/>
            <rFont val="Calibri Light"/>
            <family val="2"/>
          </rPr>
          <t>Para o uso de
Recreação de contato secundário: até 2.500 coliformes termotolerantes por 100 mililitros em 80% ou mais de pelo menos 6 amostras, coletadas durante o período de um ano, com freqüência bimestral. 
Dessedentação de animais criados confinados: até 1.000 coliformes termotolerantes por 100 mililitros em 80% ou mais de pelo menos 6 amostras, coletadas durante o período de um ano, com frequência bimestral.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Natalia Lutti Hummel</author>
  </authors>
  <commentList>
    <comment ref="G24" authorId="0" shapeId="0" xr:uid="{00000000-0006-0000-0A00-000001000000}">
      <text>
        <r>
          <rPr>
            <sz val="10"/>
            <color indexed="81"/>
            <rFont val="Calibri Light"/>
            <family val="2"/>
          </rPr>
          <t>Refere-se à degradação da qualidade de corpos d’água à jusante do ponto de lançamento de efluentes pela empresa, em função de sua carga poluidora, afetando assim a qualidade da água disponível para outros atores sociais.</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Natalia Lutti Hummel</author>
  </authors>
  <commentList>
    <comment ref="I19" authorId="0" shapeId="0" xr:uid="{00000000-0006-0000-0C00-000001000000}">
      <text>
        <r>
          <rPr>
            <sz val="9"/>
            <color indexed="81"/>
            <rFont val="Calibri Light"/>
            <family val="2"/>
          </rPr>
          <t>Introdução de espécies nativas por plantio em toda a área. Normalmente adotado em áreas altamente desmatadas e de baixo potencial de regeneração natural.</t>
        </r>
      </text>
    </comment>
    <comment ref="I20" authorId="0" shapeId="0" xr:uid="{00000000-0006-0000-0C00-000002000000}">
      <text>
        <r>
          <rPr>
            <sz val="9"/>
            <color indexed="81"/>
            <rFont val="Calibri Light"/>
            <family val="2"/>
          </rPr>
          <t>Preenchimento dos espaços vazios na área, normalmente com espécies pioneiras ou secundárias iniciais.</t>
        </r>
      </text>
    </comment>
    <comment ref="I21" authorId="0" shapeId="0" xr:uid="{00000000-0006-0000-0C00-000003000000}">
      <text>
        <r>
          <rPr>
            <sz val="9"/>
            <color indexed="81"/>
            <rFont val="Calibri Light"/>
            <family val="2"/>
          </rPr>
          <t>Introdução de espécies dos estágios finais de sucessão, principalmente espécies atrativas para a fauna, com o intuito de aumentar a diversidade da vegetação local.</t>
        </r>
      </text>
    </comment>
    <comment ref="I22" authorId="0" shapeId="0" xr:uid="{00000000-0006-0000-0C00-000004000000}">
      <text>
        <r>
          <rPr>
            <sz val="9"/>
            <color indexed="81"/>
            <rFont val="Calibri Light"/>
            <family val="2"/>
          </rPr>
          <t>Proteção da área contra fatores de degradação da vegetação, tais como fogo e gado, dentre outros.</t>
        </r>
      </text>
    </comment>
    <comment ref="D29" authorId="0" shapeId="0" xr:uid="{00000000-0006-0000-0C00-000005000000}">
      <text>
        <r>
          <rPr>
            <sz val="9"/>
            <color indexed="81"/>
            <rFont val="Calibri Light"/>
            <family val="2"/>
          </rPr>
          <t>Trata-se do grau de implantação do projeto, se floresta em crescimento ainda atribuir a % correspondente.</t>
        </r>
      </text>
    </comment>
    <comment ref="G108" authorId="0" shapeId="0" xr:uid="{00000000-0006-0000-0C00-000006000000}">
      <text>
        <r>
          <rPr>
            <sz val="9"/>
            <color indexed="81"/>
            <rFont val="Calibri Light"/>
            <family val="2"/>
          </rPr>
          <t>Emissões evitadas líquidas.</t>
        </r>
      </text>
    </comment>
  </commentList>
</comments>
</file>

<file path=xl/sharedStrings.xml><?xml version="1.0" encoding="utf-8"?>
<sst xmlns="http://schemas.openxmlformats.org/spreadsheetml/2006/main" count="3621" uniqueCount="1709">
  <si>
    <t>Dependência</t>
  </si>
  <si>
    <t>Impacto</t>
  </si>
  <si>
    <t>Externalidade</t>
  </si>
  <si>
    <t>Externalidades</t>
  </si>
  <si>
    <t>Empresa</t>
  </si>
  <si>
    <t>Objeto</t>
  </si>
  <si>
    <t>Abordagem</t>
  </si>
  <si>
    <t>Etapas da Cadeia de Valor</t>
  </si>
  <si>
    <t>Área(s) Geográfica(s)</t>
  </si>
  <si>
    <t>Horizonte Temporal</t>
  </si>
  <si>
    <t>Periodicidade</t>
  </si>
  <si>
    <t>Serviços Ecossistêmicos de interesse</t>
  </si>
  <si>
    <t>Selecione</t>
  </si>
  <si>
    <t>R$</t>
  </si>
  <si>
    <t>litro</t>
  </si>
  <si>
    <t>kg</t>
  </si>
  <si>
    <t>ton</t>
  </si>
  <si>
    <t>unidade de produto</t>
  </si>
  <si>
    <t>outro</t>
  </si>
  <si>
    <t>m3/kg</t>
  </si>
  <si>
    <t>Dh</t>
  </si>
  <si>
    <t>Bh</t>
  </si>
  <si>
    <t>Temperatura</t>
  </si>
  <si>
    <t>Parâmetros</t>
  </si>
  <si>
    <t>Unidade</t>
  </si>
  <si>
    <t>DQla</t>
  </si>
  <si>
    <t>EQla</t>
  </si>
  <si>
    <t>IQla</t>
  </si>
  <si>
    <t>Classe 1</t>
  </si>
  <si>
    <t>Classe 2</t>
  </si>
  <si>
    <t>Classe 3</t>
  </si>
  <si>
    <t>Classe 4</t>
  </si>
  <si>
    <t>Classificação das águas doces</t>
  </si>
  <si>
    <t>Coliformes termotolerantes</t>
  </si>
  <si>
    <t>Turbidez</t>
  </si>
  <si>
    <t>pH</t>
  </si>
  <si>
    <t>6,0 a 9,0</t>
  </si>
  <si>
    <t>OD</t>
  </si>
  <si>
    <t>10 μg/L</t>
  </si>
  <si>
    <t xml:space="preserve">Densidade de cianobactérias </t>
  </si>
  <si>
    <t xml:space="preserve">Sólidos dissolvidos totais </t>
  </si>
  <si>
    <t>500 mg/L</t>
  </si>
  <si>
    <t>Condições de qualidade da água</t>
  </si>
  <si>
    <t>0,025 mg/L P</t>
  </si>
  <si>
    <t xml:space="preserve">Alumínio dissolvido </t>
  </si>
  <si>
    <t>0,1 mg/L Al</t>
  </si>
  <si>
    <t xml:space="preserve">Antimônio </t>
  </si>
  <si>
    <t>0,005mg/L Sb</t>
  </si>
  <si>
    <t xml:space="preserve">Arsênio total </t>
  </si>
  <si>
    <t>0,01 mg/L As</t>
  </si>
  <si>
    <t xml:space="preserve">Bário total </t>
  </si>
  <si>
    <t>0,7 mg/L Ba</t>
  </si>
  <si>
    <t xml:space="preserve">Berílio total </t>
  </si>
  <si>
    <t>0,04 mg/L Be</t>
  </si>
  <si>
    <t xml:space="preserve">Boro total </t>
  </si>
  <si>
    <t>0,5 mg/L B</t>
  </si>
  <si>
    <t xml:space="preserve">Cádmio total </t>
  </si>
  <si>
    <t>0,001 mg/L Cd</t>
  </si>
  <si>
    <t xml:space="preserve">Chumbo total </t>
  </si>
  <si>
    <t>0,01mg/L Pb</t>
  </si>
  <si>
    <t xml:space="preserve">Cianeto livre </t>
  </si>
  <si>
    <t>0,005 mg/L CN</t>
  </si>
  <si>
    <t xml:space="preserve">Cloreto total </t>
  </si>
  <si>
    <t>250 mg/L Cl</t>
  </si>
  <si>
    <t>Cloro residual total (combinado + livre)</t>
  </si>
  <si>
    <t>Cobalto total</t>
  </si>
  <si>
    <t xml:space="preserve">Cobre dissolvido </t>
  </si>
  <si>
    <t>0,009 mg/L Cu</t>
  </si>
  <si>
    <t xml:space="preserve">Cromo total </t>
  </si>
  <si>
    <t>0,05 mg/L Cr</t>
  </si>
  <si>
    <t xml:space="preserve">Ferro dissolvido </t>
  </si>
  <si>
    <t>0,3 mg/L Fe</t>
  </si>
  <si>
    <t xml:space="preserve">Fluoreto total </t>
  </si>
  <si>
    <t>1,4 mg/L F</t>
  </si>
  <si>
    <t xml:space="preserve">Fósforo total (ambiente lêntico) </t>
  </si>
  <si>
    <t>0,020 mg/L P</t>
  </si>
  <si>
    <t>Fósforo total (ambiente intermediário, com tempo de residência entre 2 e 40 dias, e tributários diretos de ambiente lêntico)</t>
  </si>
  <si>
    <t>0,1 mg/L P</t>
  </si>
  <si>
    <t>Nitrogênio amoniacal total</t>
  </si>
  <si>
    <t>3,7mg/L N, para pH ≤ 7,5</t>
  </si>
  <si>
    <t>2,0 mg/L N, para 7,5 &lt; pH ≤ 8,0</t>
  </si>
  <si>
    <t>1,0 mg/L N, para 8,0 &lt; pH ≤ 8,5</t>
  </si>
  <si>
    <t>0,5 mg/L N, para pH &gt; 8,5</t>
  </si>
  <si>
    <t>Fósforo total (ambiente lótico e tributários de ambientes intermediários)</t>
  </si>
  <si>
    <t xml:space="preserve">Lítio total </t>
  </si>
  <si>
    <t>2,5 mg/L Li</t>
  </si>
  <si>
    <t xml:space="preserve">Manganês total </t>
  </si>
  <si>
    <t>0,1 mg/L Mn</t>
  </si>
  <si>
    <t xml:space="preserve">Mercúrio total </t>
  </si>
  <si>
    <t>0,0002 mg/L Hg</t>
  </si>
  <si>
    <t>Níquel total</t>
  </si>
  <si>
    <t>0,025 mg/L Ni</t>
  </si>
  <si>
    <t xml:space="preserve">Nitrato </t>
  </si>
  <si>
    <t>10,0 mg/L N</t>
  </si>
  <si>
    <t xml:space="preserve">Nitrito </t>
  </si>
  <si>
    <t>1,0 mg/L N</t>
  </si>
  <si>
    <t xml:space="preserve">Prata total </t>
  </si>
  <si>
    <t>0,01 mg/L Ag</t>
  </si>
  <si>
    <t xml:space="preserve">Selênio total </t>
  </si>
  <si>
    <t>0,01 mg/L Se</t>
  </si>
  <si>
    <t xml:space="preserve">Sulfato total </t>
  </si>
  <si>
    <t>250 mg/L SO4</t>
  </si>
  <si>
    <t>Sulfeto (H2S não dissociado)</t>
  </si>
  <si>
    <t xml:space="preserve"> 0,002 mg/L S</t>
  </si>
  <si>
    <t xml:space="preserve">Urânio total </t>
  </si>
  <si>
    <t>0,02 mg/L U</t>
  </si>
  <si>
    <t xml:space="preserve">Vanádio total </t>
  </si>
  <si>
    <t>0,1 mg/L V</t>
  </si>
  <si>
    <t xml:space="preserve">Zinco total </t>
  </si>
  <si>
    <t>0,18 mg/L Zn</t>
  </si>
  <si>
    <t>Parâmetros inorgânicos</t>
  </si>
  <si>
    <t>Parâmetros orgânicos</t>
  </si>
  <si>
    <t xml:space="preserve">Acrilamida </t>
  </si>
  <si>
    <t>0,5 μg/L</t>
  </si>
  <si>
    <t xml:space="preserve">Alacloro </t>
  </si>
  <si>
    <t>20 μg/L</t>
  </si>
  <si>
    <t xml:space="preserve">Aldrin + Dieldrin </t>
  </si>
  <si>
    <t>0,005 μg/L</t>
  </si>
  <si>
    <t>Atrazina</t>
  </si>
  <si>
    <t xml:space="preserve"> 2 μg/L</t>
  </si>
  <si>
    <t xml:space="preserve">Benzeno </t>
  </si>
  <si>
    <t>0,005 mg/L</t>
  </si>
  <si>
    <t xml:space="preserve">Benzidina </t>
  </si>
  <si>
    <t>0,001 μg/L</t>
  </si>
  <si>
    <t xml:space="preserve">Benzo(a)antraceno </t>
  </si>
  <si>
    <t>0,05 μg/L</t>
  </si>
  <si>
    <t xml:space="preserve">Benzo(a)pireno </t>
  </si>
  <si>
    <t xml:space="preserve">Benzo(b)fluoranteno </t>
  </si>
  <si>
    <t xml:space="preserve">Benzo(k)fluoranteno </t>
  </si>
  <si>
    <t xml:space="preserve">Carbaril </t>
  </si>
  <si>
    <t>0,02 μg/L</t>
  </si>
  <si>
    <t xml:space="preserve">Clordano (cis + trans) </t>
  </si>
  <si>
    <t>0,04 μg/L</t>
  </si>
  <si>
    <t xml:space="preserve">2-Clorofenol </t>
  </si>
  <si>
    <t>0,1 μg/L</t>
  </si>
  <si>
    <t xml:space="preserve">Criseno </t>
  </si>
  <si>
    <t xml:space="preserve">2,4–D </t>
  </si>
  <si>
    <t>4,0 μg/L</t>
  </si>
  <si>
    <t xml:space="preserve">Demeton (Demeton-O + Demeton-S) </t>
  </si>
  <si>
    <t xml:space="preserve">Dibenzo(a,h)antraceno </t>
  </si>
  <si>
    <t xml:space="preserve">1,2-Dicloroetano </t>
  </si>
  <si>
    <t>0,01 mg/L</t>
  </si>
  <si>
    <t xml:space="preserve">1,1-Dicloroeteno </t>
  </si>
  <si>
    <t>0,003 mg/L</t>
  </si>
  <si>
    <t>Simazina 2,0 μg/L</t>
  </si>
  <si>
    <t xml:space="preserve">2,4-Diclorofenol </t>
  </si>
  <si>
    <t>0,3 μg/L</t>
  </si>
  <si>
    <t xml:space="preserve">Diclorometano </t>
  </si>
  <si>
    <t>0,02 mg/L</t>
  </si>
  <si>
    <t xml:space="preserve">DDT (p,p’-DDT + p,p’-DDE + p,p’-DDD) </t>
  </si>
  <si>
    <t>0,002 μg/L</t>
  </si>
  <si>
    <t>Dodecacloro pentaciclodecano</t>
  </si>
  <si>
    <t xml:space="preserve"> 0,001 μg/L</t>
  </si>
  <si>
    <t>0,056 μg/L</t>
  </si>
  <si>
    <t xml:space="preserve">Endrin </t>
  </si>
  <si>
    <t>0,004 μg/L</t>
  </si>
  <si>
    <t xml:space="preserve">Estireno </t>
  </si>
  <si>
    <t xml:space="preserve">Etilbenzeno </t>
  </si>
  <si>
    <t>90,0 μg/L</t>
  </si>
  <si>
    <t xml:space="preserve">Fenóis totais (substâncias que reagem com 4-aminoantipirina) </t>
  </si>
  <si>
    <t>0,003 mg/L C6H5OH</t>
  </si>
  <si>
    <t xml:space="preserve">Substâncias tensoativas que reagem com o azul de metileno </t>
  </si>
  <si>
    <t>0,5 mg/L LAS</t>
  </si>
  <si>
    <t xml:space="preserve">Glifosato </t>
  </si>
  <si>
    <t>65 μg/L</t>
  </si>
  <si>
    <t xml:space="preserve">Gution </t>
  </si>
  <si>
    <t xml:space="preserve">Heptacloro epóxido + Heptacloro </t>
  </si>
  <si>
    <t>0,01 μg/L</t>
  </si>
  <si>
    <t xml:space="preserve">Hexaclorobenzeno </t>
  </si>
  <si>
    <t>0,0065 μg/L</t>
  </si>
  <si>
    <t xml:space="preserve">Indeno(1,2,3-cd)pireno </t>
  </si>
  <si>
    <t xml:space="preserve">Malation </t>
  </si>
  <si>
    <t xml:space="preserve">Metolacloro </t>
  </si>
  <si>
    <t xml:space="preserve">Metoxicloro </t>
  </si>
  <si>
    <t>0,03 μg/L</t>
  </si>
  <si>
    <t>Paration</t>
  </si>
  <si>
    <t xml:space="preserve">PCBs - Bifenilas policloradas </t>
  </si>
  <si>
    <t xml:space="preserve">Pentaclorofenol </t>
  </si>
  <si>
    <t>0,009 mg/L</t>
  </si>
  <si>
    <t xml:space="preserve">2,4,5–T </t>
  </si>
  <si>
    <t>2,0 μg/L</t>
  </si>
  <si>
    <t xml:space="preserve">Tetracloreto de carbono </t>
  </si>
  <si>
    <t>0,002 mg/L</t>
  </si>
  <si>
    <t xml:space="preserve">Tetracloroeteno </t>
  </si>
  <si>
    <t xml:space="preserve">Tolueno </t>
  </si>
  <si>
    <t xml:space="preserve">Toxafeno </t>
  </si>
  <si>
    <t xml:space="preserve">2,4,5-TP </t>
  </si>
  <si>
    <t>10,0 μg/L</t>
  </si>
  <si>
    <t xml:space="preserve">Tributilestanho </t>
  </si>
  <si>
    <t>0,063 μg/L TBT</t>
  </si>
  <si>
    <t xml:space="preserve">Triclorobenzeno (1,2,3-TCB + 1,2,4-TCB) </t>
  </si>
  <si>
    <t xml:space="preserve">Tricloroeteno </t>
  </si>
  <si>
    <t>0,03 mg/L</t>
  </si>
  <si>
    <t xml:space="preserve">2,4,6-Triclorofenol </t>
  </si>
  <si>
    <t xml:space="preserve">Trifluralina </t>
  </si>
  <si>
    <t>0,2 μg/L</t>
  </si>
  <si>
    <t xml:space="preserve">Xileno </t>
  </si>
  <si>
    <t>300 μg/L</t>
  </si>
  <si>
    <t>PADRÕES PARA CORPOS DE ÁGUA ONDE HAJA PESCA OU CULTIVO DE ORGANISMOS PARA FINS DE CONSUMO INTENSIVO</t>
  </si>
  <si>
    <t xml:space="preserve">Lindano (□-HCH) </t>
  </si>
  <si>
    <t>0,14 μg/L As</t>
  </si>
  <si>
    <t>0,0002 μg/L</t>
  </si>
  <si>
    <t>0,018 μg/L</t>
  </si>
  <si>
    <t xml:space="preserve">3,3-Diclorobenzidina </t>
  </si>
  <si>
    <t>0,028 μg/L</t>
  </si>
  <si>
    <t>Heptacloro epóxido + Heptacloro</t>
  </si>
  <si>
    <t xml:space="preserve"> 0,000039 μg/L</t>
  </si>
  <si>
    <t>0,00029 μg/L</t>
  </si>
  <si>
    <t>0,000064 μg/L</t>
  </si>
  <si>
    <t>3,0 μg/L</t>
  </si>
  <si>
    <t>1,6 μg/L</t>
  </si>
  <si>
    <t>Tetracloroeteno</t>
  </si>
  <si>
    <t>3,3 μg/L</t>
  </si>
  <si>
    <t>0,00028 μg/L</t>
  </si>
  <si>
    <t xml:space="preserve">2,4,6-triclorofenol </t>
  </si>
  <si>
    <t>2,4 μg/L</t>
  </si>
  <si>
    <t>Não verificação de efeito tóxico crônico a organismos</t>
  </si>
  <si>
    <t>Materiais flutuantes, inclusive espumas não naturais</t>
  </si>
  <si>
    <t>Virtualmente ausentes</t>
  </si>
  <si>
    <t>Óleos e graxas</t>
  </si>
  <si>
    <t>Substâncias que comuniquem gosto ou odor</t>
  </si>
  <si>
    <t>Corantes provenientes de fontes antrópicas</t>
  </si>
  <si>
    <t>Resíduos sólidos objetáveis</t>
  </si>
  <si>
    <t>DBO 5 dias a 20°C</t>
  </si>
  <si>
    <t>Cor verdadeira</t>
  </si>
  <si>
    <t>nível de cor natural do corpo de água em mg Pt/L</t>
  </si>
  <si>
    <t>até 75 mg Pt/L</t>
  </si>
  <si>
    <t>até 100 UNT</t>
  </si>
  <si>
    <t>30 μg/L</t>
  </si>
  <si>
    <t>0,030 mg/L</t>
  </si>
  <si>
    <t>0,050 mg/L</t>
  </si>
  <si>
    <t>Apenas corantes removíveis por processo de coagulação, sedimentação e filtração convencionais</t>
  </si>
  <si>
    <t>0,01 mg/L Cl</t>
  </si>
  <si>
    <t>0,05 mg/L Co</t>
  </si>
  <si>
    <t>até 200 coliformes termotolerantes por 100 mililitros em 80% ou mais, de pelo menos 6 amostras, coletadas durante o período de um ano, com frequência bimestral</t>
  </si>
  <si>
    <t>até 4.000 coliformes termotolerantes por 100 mililitros em 80% ou mais de pelo menos 6 amostras coletadas durante o período de um ano, com periodicidade bimestral</t>
  </si>
  <si>
    <t>60 μg/L</t>
  </si>
  <si>
    <t>0,2 mg/L Al</t>
  </si>
  <si>
    <t>0,033 mg/L As</t>
  </si>
  <si>
    <t>1,0 mg/L Ba</t>
  </si>
  <si>
    <t>0,1 mg/L Be</t>
  </si>
  <si>
    <t>0,75 mg/L B</t>
  </si>
  <si>
    <t>0,01 mg/L Cd</t>
  </si>
  <si>
    <t>0,033 mg/L Pb</t>
  </si>
  <si>
    <t>0,022 mg/L CN</t>
  </si>
  <si>
    <t>0,2 mg/L Co</t>
  </si>
  <si>
    <t>0,013 mg/L Cu</t>
  </si>
  <si>
    <t>5,0 mg/L Fe</t>
  </si>
  <si>
    <t>0,05 mg/L P</t>
  </si>
  <si>
    <t>0,075 mg/L P</t>
  </si>
  <si>
    <t>0,15 mg/L P</t>
  </si>
  <si>
    <t>0,5 mg/L Mn</t>
  </si>
  <si>
    <t>0,002 mg/L Hg</t>
  </si>
  <si>
    <t>13,3 mg/L N, para pH ≤ 7,5</t>
  </si>
  <si>
    <t>5,6 mg/L N, para 7,5 &lt; pH ≤ 8,0</t>
  </si>
  <si>
    <t>2,2 mg/L N, para 8,0 &lt; pH ≤ 8,5</t>
  </si>
  <si>
    <t>1,0 mg/L N, para pH &gt; 8,5</t>
  </si>
  <si>
    <t>0,05 mg/L Ag</t>
  </si>
  <si>
    <t>0,05 mg/L Se</t>
  </si>
  <si>
    <t>0,3 mg/L S</t>
  </si>
  <si>
    <t>0,002 mg/L S</t>
  </si>
  <si>
    <t>5 mg/L Zn</t>
  </si>
  <si>
    <t>2 μg/L</t>
  </si>
  <si>
    <t>0,7 μg/L</t>
  </si>
  <si>
    <t>70,0 μg/L</t>
  </si>
  <si>
    <t>30,0 μg/L</t>
  </si>
  <si>
    <t>1,0 μg/L</t>
  </si>
  <si>
    <t>14,0 μg/L</t>
  </si>
  <si>
    <t>0,22 μg/L</t>
  </si>
  <si>
    <t>0,01 mg/L C6H5OH</t>
  </si>
  <si>
    <t>280 μg/L</t>
  </si>
  <si>
    <t>100,0 μg/L</t>
  </si>
  <si>
    <t>20,0 μg/L</t>
  </si>
  <si>
    <t>35,0 μg/L</t>
  </si>
  <si>
    <t>0,21 μg/L</t>
  </si>
  <si>
    <t>2,0 μg/L TBT</t>
  </si>
  <si>
    <t>Não objetáveis</t>
  </si>
  <si>
    <t>Toleram-se iridescências</t>
  </si>
  <si>
    <t>1,0 mg/L de C6H5OH</t>
  </si>
  <si>
    <t>Não verificação de efeito tóxico agudo a organismos</t>
  </si>
  <si>
    <t>Crômio</t>
  </si>
  <si>
    <t>Usos Preponderantes da Água</t>
  </si>
  <si>
    <t>Consumo humano</t>
  </si>
  <si>
    <t>Dessedentação animal</t>
  </si>
  <si>
    <t>Irrigação</t>
  </si>
  <si>
    <t>Recreação</t>
  </si>
  <si>
    <t>LQP Praticável - LQP</t>
  </si>
  <si>
    <t xml:space="preserve">Inorgânicos </t>
  </si>
  <si>
    <t>μg.L-1</t>
  </si>
  <si>
    <t>Alumínio</t>
  </si>
  <si>
    <t xml:space="preserve"> 200 (1)</t>
  </si>
  <si>
    <t>Antimônio</t>
  </si>
  <si>
    <t>Arsênio</t>
  </si>
  <si>
    <t xml:space="preserve">Bário </t>
  </si>
  <si>
    <t>Cádmio</t>
  </si>
  <si>
    <t>Cianeto</t>
  </si>
  <si>
    <t xml:space="preserve">Cloreto </t>
  </si>
  <si>
    <t>250.000 (1)</t>
  </si>
  <si>
    <t>100.000 -700.000</t>
  </si>
  <si>
    <t xml:space="preserve">Cobalto </t>
  </si>
  <si>
    <t>Nitrato (expresso em N)</t>
  </si>
  <si>
    <t>Nitrito (expresso em N)</t>
  </si>
  <si>
    <t>Sólidos Totais Dissolvidos (STD)</t>
  </si>
  <si>
    <t>100 (5)</t>
  </si>
  <si>
    <t xml:space="preserve">Orgânicos </t>
  </si>
  <si>
    <t>Berílio</t>
  </si>
  <si>
    <t>Boro</t>
  </si>
  <si>
    <t xml:space="preserve"> 500 (2)</t>
  </si>
  <si>
    <t xml:space="preserve"> 500 (4)</t>
  </si>
  <si>
    <t>Chumbo</t>
  </si>
  <si>
    <t>Cobre</t>
  </si>
  <si>
    <t>Ferro</t>
  </si>
  <si>
    <t>300 (1)</t>
  </si>
  <si>
    <t>Fluoreto</t>
  </si>
  <si>
    <t>Lítio</t>
  </si>
  <si>
    <t>Manganês</t>
  </si>
  <si>
    <t xml:space="preserve"> 100 (1)</t>
  </si>
  <si>
    <t>Mercúrio</t>
  </si>
  <si>
    <t>Molibdênio</t>
  </si>
  <si>
    <t>Níquel</t>
  </si>
  <si>
    <t>Prata</t>
  </si>
  <si>
    <t>Selênio</t>
  </si>
  <si>
    <t>Sódio</t>
  </si>
  <si>
    <t xml:space="preserve"> 200.000 (1)</t>
  </si>
  <si>
    <t>Sulfato</t>
  </si>
  <si>
    <t xml:space="preserve"> 250.000 (1)</t>
  </si>
  <si>
    <t>Urânio</t>
  </si>
  <si>
    <t xml:space="preserve"> 15 (2,3)</t>
  </si>
  <si>
    <t xml:space="preserve"> 10 (4)</t>
  </si>
  <si>
    <t>Vanádio</t>
  </si>
  <si>
    <t>Zinco</t>
  </si>
  <si>
    <t xml:space="preserve"> 5.000 (1)</t>
  </si>
  <si>
    <t>Acrilamida</t>
  </si>
  <si>
    <t>Benzeno</t>
  </si>
  <si>
    <t>Benzo antraceno</t>
  </si>
  <si>
    <t>Benzo(k)fluoranteno</t>
  </si>
  <si>
    <t>Clorofórmio</t>
  </si>
  <si>
    <t>Criseno</t>
  </si>
  <si>
    <t>1,2-Diclorobenzeno</t>
  </si>
  <si>
    <t>1,4-Diclorobenzeno</t>
  </si>
  <si>
    <t>1,2-Dicloroetano</t>
  </si>
  <si>
    <t>Benzo fluoranteno</t>
  </si>
  <si>
    <t>Benzo pireno</t>
  </si>
  <si>
    <t>Cloreto de vinila</t>
  </si>
  <si>
    <t xml:space="preserve"> 1.000 (1)</t>
  </si>
  <si>
    <t xml:space="preserve"> 300 (1)</t>
  </si>
  <si>
    <t>1,2-Dicloroeteno</t>
  </si>
  <si>
    <t>Xileno Total (o+m+p)</t>
  </si>
  <si>
    <t>(cis + trans)</t>
  </si>
  <si>
    <t xml:space="preserve">trans (156-60-5) </t>
  </si>
  <si>
    <t>5 para cada</t>
  </si>
  <si>
    <t>PCBs (somatória de 7) (9)</t>
  </si>
  <si>
    <t>Tetracloreto de carbono</t>
  </si>
  <si>
    <t>Triclorobenzenos (1,2,4-TCB + 1,3,5-TCB + 1,2,3)</t>
  </si>
  <si>
    <t>1,1-Dicloroeteno</t>
  </si>
  <si>
    <t>Dibenzo antraceno</t>
  </si>
  <si>
    <t>Diclorometano</t>
  </si>
  <si>
    <t>Estireno</t>
  </si>
  <si>
    <t>Etilbenzeno</t>
  </si>
  <si>
    <t>Fenóis (10)</t>
  </si>
  <si>
    <t>Indeno(1,2,3)pireno</t>
  </si>
  <si>
    <t xml:space="preserve"> 0,01 para cada</t>
  </si>
  <si>
    <t xml:space="preserve"> 5 para cada</t>
  </si>
  <si>
    <t>1,1,2Tricloroeteno</t>
  </si>
  <si>
    <t>Tolueno</t>
  </si>
  <si>
    <t xml:space="preserve"> 170 (*)</t>
  </si>
  <si>
    <t xml:space="preserve"> 300 (*)</t>
  </si>
  <si>
    <t>20 (3)</t>
  </si>
  <si>
    <t>1.000.000 (1)</t>
  </si>
  <si>
    <t>Agrotóxicos</t>
  </si>
  <si>
    <t>até 1.000 coliformes termotolerantes por 100 mililitros em 80% ou mais de pelo menos 6 amostras coletadas durante o período de um ano, com freqüência bimestral</t>
  </si>
  <si>
    <t>Aldrin + Dieldrin</t>
  </si>
  <si>
    <t>Aldicarb + ald.
sulfona + ald.
Sulfóxido</t>
  </si>
  <si>
    <t>0,005 para cada</t>
  </si>
  <si>
    <t>Clordano (cis + trans)</t>
  </si>
  <si>
    <t>Alaclor</t>
  </si>
  <si>
    <t xml:space="preserve"> 3 para cada</t>
  </si>
  <si>
    <t>Carbofuran</t>
  </si>
  <si>
    <t>Clorotalonil</t>
  </si>
  <si>
    <t>Clorpirifós</t>
  </si>
  <si>
    <t>2,4-D</t>
  </si>
  <si>
    <t>Bentazona</t>
  </si>
  <si>
    <t>0,01 para cada</t>
  </si>
  <si>
    <t>DDT (p,p’- DDT + p,p’-DDE + p,p’- DDD)</t>
  </si>
  <si>
    <t>Endosulfan ( I + II + sulfato)</t>
  </si>
  <si>
    <t>II (33213-65-9)
sulfato (1031-07-8)</t>
  </si>
  <si>
    <t>0,02 para cada</t>
  </si>
  <si>
    <t>Endrin</t>
  </si>
  <si>
    <t>Glifosato + Ampa</t>
  </si>
  <si>
    <t>0,13 (6)
0,06 (7)
0,04 (8)</t>
  </si>
  <si>
    <t>Heptacloro +
heptacloro epóxido</t>
  </si>
  <si>
    <t>Heptacloro epóxido
(1024-57-3)</t>
  </si>
  <si>
    <t>Hexaclorobenzeno</t>
  </si>
  <si>
    <t>Lindano (gama-BHC)</t>
  </si>
  <si>
    <t>Microorganismos</t>
  </si>
  <si>
    <t>Malation</t>
  </si>
  <si>
    <t>Metolacloro</t>
  </si>
  <si>
    <t>Metoxicloro</t>
  </si>
  <si>
    <t>Pendimetalina</t>
  </si>
  <si>
    <t>Pentaclorofenol</t>
  </si>
  <si>
    <t>Permetrina</t>
  </si>
  <si>
    <t>Propanil</t>
  </si>
  <si>
    <t>Simazina</t>
  </si>
  <si>
    <t>Trifuralina</t>
  </si>
  <si>
    <t>Molinato</t>
  </si>
  <si>
    <t>E. coli</t>
  </si>
  <si>
    <t>200/ 100mL</t>
  </si>
  <si>
    <t>Ausentes em 100mL</t>
  </si>
  <si>
    <t>800/100mL</t>
  </si>
  <si>
    <t>Enterococos</t>
  </si>
  <si>
    <t>100/100mL</t>
  </si>
  <si>
    <t>1000/100mL</t>
  </si>
  <si>
    <t>Padrões de lançamento de efluentes</t>
  </si>
  <si>
    <t xml:space="preserve"> Valores máximos</t>
  </si>
  <si>
    <t>Arsênio total</t>
  </si>
  <si>
    <t xml:space="preserve"> 0,5 mg/L As</t>
  </si>
  <si>
    <t>Bário total</t>
  </si>
  <si>
    <t xml:space="preserve"> 5,0 mg/L Ba</t>
  </si>
  <si>
    <t>Boro total (Não se aplica para o lançamento em águas salinas)</t>
  </si>
  <si>
    <t xml:space="preserve"> 5,0 mg/L B</t>
  </si>
  <si>
    <t>Cádmio total</t>
  </si>
  <si>
    <t xml:space="preserve"> 0,2 mg/L Cd</t>
  </si>
  <si>
    <t>Chumbo total</t>
  </si>
  <si>
    <t xml:space="preserve"> 0,5 mg/L Pb</t>
  </si>
  <si>
    <t>Cianeto total</t>
  </si>
  <si>
    <t xml:space="preserve"> 1,0 mg/L CN</t>
  </si>
  <si>
    <t>Cianeto livre (destilável por ácidos fracos)</t>
  </si>
  <si>
    <t xml:space="preserve"> 0,2 mg/L CN</t>
  </si>
  <si>
    <t>Cobre dissolvido</t>
  </si>
  <si>
    <t xml:space="preserve"> 1,0 mg/L Cu</t>
  </si>
  <si>
    <t>Cromo hexavalente</t>
  </si>
  <si>
    <t xml:space="preserve"> 0,1 mg/L Cr+6</t>
  </si>
  <si>
    <t>Cromo trivalente</t>
  </si>
  <si>
    <t xml:space="preserve"> 1,0 mg/L Cr+3</t>
  </si>
  <si>
    <t>Estanho total</t>
  </si>
  <si>
    <t xml:space="preserve"> 4,0 mg/L Sn</t>
  </si>
  <si>
    <t>Ferro dissolvido</t>
  </si>
  <si>
    <t xml:space="preserve"> 15,0 mg/L Fe</t>
  </si>
  <si>
    <t>Valores Máximos Permitidos (VMP) para cada um dos usos considerados como preponderantes e os limites de quantificação praticáveis (LQP)</t>
  </si>
  <si>
    <t>Fluoreto total</t>
  </si>
  <si>
    <t xml:space="preserve"> 10,0 mg/L F</t>
  </si>
  <si>
    <t>Manganês dissolvido</t>
  </si>
  <si>
    <t xml:space="preserve"> 1,0 mg/L Mn</t>
  </si>
  <si>
    <t>Mercúrio total</t>
  </si>
  <si>
    <t xml:space="preserve"> 0,01 mg/L Hg</t>
  </si>
  <si>
    <t xml:space="preserve"> 2,0 mg/L Ni</t>
  </si>
  <si>
    <t xml:space="preserve"> 20,0 mg/L N</t>
  </si>
  <si>
    <t>Prata total</t>
  </si>
  <si>
    <t xml:space="preserve"> 0,1 mg/L Ag</t>
  </si>
  <si>
    <t>Selênio total</t>
  </si>
  <si>
    <t xml:space="preserve"> 0,30 mg/L Se</t>
  </si>
  <si>
    <t>Sulfeto</t>
  </si>
  <si>
    <t xml:space="preserve"> 1,0 mg/L S</t>
  </si>
  <si>
    <t>Zinco total</t>
  </si>
  <si>
    <t xml:space="preserve"> 5,0 mg/L Zn</t>
  </si>
  <si>
    <t>Parâmetros Orgânicos</t>
  </si>
  <si>
    <t xml:space="preserve"> 1,2 mg/L</t>
  </si>
  <si>
    <t xml:space="preserve"> 1,0 mg/L</t>
  </si>
  <si>
    <t>Dicloroeteno (somatório de 1,1 + 1,2cis + 1,2 trans)</t>
  </si>
  <si>
    <t xml:space="preserve"> 0,07 mg/L</t>
  </si>
  <si>
    <t xml:space="preserve"> 0,84 mg/L</t>
  </si>
  <si>
    <t>fenóis totais (substâncias que reagem com 4-aminoantipirina)</t>
  </si>
  <si>
    <t xml:space="preserve"> 0,5 mg/L C6H5OH</t>
  </si>
  <si>
    <t>Tricloroeteno</t>
  </si>
  <si>
    <t>Xileno</t>
  </si>
  <si>
    <t xml:space="preserve"> 1,6 mg/L</t>
  </si>
  <si>
    <t>entre 5 a 9</t>
  </si>
  <si>
    <t>inferior a 40°C, sendo que a variação de temperatura do corpo receptor não deverá exceder a 3°C no limite da zona de mistura</t>
  </si>
  <si>
    <t>Materiais sedimentáveis</t>
  </si>
  <si>
    <t>até 1 mL/L em teste de 1 hora em cone Inmhoff. Para o lançamento em lagos e lagoas, cuja velocidade de circulação seja praticamente nula, os materiais sedimentáveis deverão estar virtualmente ausentes</t>
  </si>
  <si>
    <t>Vazão máxima</t>
  </si>
  <si>
    <t>Ausente</t>
  </si>
  <si>
    <t>Materiais flutuantes</t>
  </si>
  <si>
    <t>Demanda Bioquímica de Oxigênio (DBO 5 dias a 20°C)</t>
  </si>
  <si>
    <t>Remoção mínima de 60% de DBO sendo que este limite só poderá ser reduzido no caso de existência de estudo de autodepuração do corpo hídrico que comprove atendimento às metas do enquadramento do corpo receptor</t>
  </si>
  <si>
    <t>Condições de lançamento de efluentes</t>
  </si>
  <si>
    <t>Fonte: Resolução CONAMA 430/2011</t>
  </si>
  <si>
    <t>Fonte:  Resolução CONAMA 396/2008</t>
  </si>
  <si>
    <t>Fonte: Resolução Conama 357/ 2005</t>
  </si>
  <si>
    <t>Óleos e graxas:
1. óleos minerais
2. óleos vegetais e gorduras animais</t>
  </si>
  <si>
    <t>até 20 mg/L
até 50 mg/L</t>
  </si>
  <si>
    <t>Classificação e diretrizes ambientais para o enquadramento das águas subterrâneas</t>
  </si>
  <si>
    <t>Classificação e diretrizes ambientais para o enquadramento de recursos hídricos superficiais</t>
  </si>
  <si>
    <t>DADOS DA EMPRESA</t>
  </si>
  <si>
    <t>Setor</t>
  </si>
  <si>
    <t>ESCOPO DA ÁNALISE</t>
  </si>
  <si>
    <t>OBJETIVO</t>
  </si>
  <si>
    <t>PLANO DE TRABALHO</t>
  </si>
  <si>
    <t>DADOS DE ENTRADA</t>
  </si>
  <si>
    <t>PROVISÃO DE ÁGUA</t>
  </si>
  <si>
    <t>QUANTIFICAÇÃO E VALORAÇÂO</t>
  </si>
  <si>
    <t xml:space="preserve">DQa </t>
  </si>
  <si>
    <t>Valor</t>
  </si>
  <si>
    <t xml:space="preserve">Valor </t>
  </si>
  <si>
    <t>UNIDADES</t>
  </si>
  <si>
    <t>Parâmetro de qualidade de água em avaliação</t>
  </si>
  <si>
    <t>REGULAÇÃO DA QUALIDADE DA ÁGUA</t>
  </si>
  <si>
    <t>m³</t>
  </si>
  <si>
    <t xml:space="preserve">Endossulfan (□ + □ + sulfato) </t>
  </si>
  <si>
    <t>Variáveis</t>
  </si>
  <si>
    <t>Valores</t>
  </si>
  <si>
    <t>Observação</t>
  </si>
  <si>
    <t>Poder Calorífico</t>
  </si>
  <si>
    <t>Etanol Hidratado</t>
  </si>
  <si>
    <t>GJ/t</t>
  </si>
  <si>
    <t>Etanol Anidro</t>
  </si>
  <si>
    <t>Litros</t>
  </si>
  <si>
    <t>R$/litro</t>
  </si>
  <si>
    <t>Bagaço de Cana</t>
  </si>
  <si>
    <t>Toneladas</t>
  </si>
  <si>
    <t>R$/ton.</t>
  </si>
  <si>
    <t>Alcatrão</t>
  </si>
  <si>
    <t>Biodiesel (B100)</t>
  </si>
  <si>
    <t>Caldo de Cana</t>
  </si>
  <si>
    <t>Carvão Vegetal</t>
  </si>
  <si>
    <t>Lenha para Carvoejamento</t>
  </si>
  <si>
    <t>Lenha para Queima Direta</t>
  </si>
  <si>
    <t>Licor Negro (Lixívia)</t>
  </si>
  <si>
    <t>Melaço</t>
  </si>
  <si>
    <t>Resíduos Municipais (fração biomassa)</t>
  </si>
  <si>
    <t>Resíduos Vegetais</t>
  </si>
  <si>
    <t>hectares</t>
  </si>
  <si>
    <t>Asfaltos</t>
  </si>
  <si>
    <t>Carvão Metalúrgico Importado</t>
  </si>
  <si>
    <t>R$/unidade</t>
  </si>
  <si>
    <t>Carvão Metalúrgico Nacional</t>
  </si>
  <si>
    <t>Carvão Vapor 3100 kcal / kg</t>
  </si>
  <si>
    <t>Carvão Vapor 3300 kcal / kg</t>
  </si>
  <si>
    <t>Carvão Vapor 3700 kcal / kg</t>
  </si>
  <si>
    <t>Carvão Vapor 4200 kcal / kg</t>
  </si>
  <si>
    <t>Carvão Vapor 4500 kcal / kg</t>
  </si>
  <si>
    <t>Carvão Vapor 4700 kcal / kg</t>
  </si>
  <si>
    <t>Carvão Vapor 5200 kcal / kg</t>
  </si>
  <si>
    <t>Carvão Vapor 5900 kcal / kg</t>
  </si>
  <si>
    <t>Carvão Vapor 6000 kcal / kg</t>
  </si>
  <si>
    <t>Carvão Vapor sem Especificação</t>
  </si>
  <si>
    <t>Coque de Carvão Mineral</t>
  </si>
  <si>
    <t>Coque de Petróleo</t>
  </si>
  <si>
    <t>Gás de Coqueria</t>
  </si>
  <si>
    <t>Gás de Refinaria</t>
  </si>
  <si>
    <t>Gás Liquefeito de Petróleo (GLP)</t>
  </si>
  <si>
    <t>Gás Natural Seco</t>
  </si>
  <si>
    <t>Gás Natural Úmido</t>
  </si>
  <si>
    <t>Gasolina Automotiva (pura)</t>
  </si>
  <si>
    <t>Gasolina de Aviação</t>
  </si>
  <si>
    <t>Líquidos de Gás Natural (LGN)</t>
  </si>
  <si>
    <t>Lubrificantes</t>
  </si>
  <si>
    <t>Nafta</t>
  </si>
  <si>
    <t>Óleo Combustível</t>
  </si>
  <si>
    <t>Óleo de Xisto</t>
  </si>
  <si>
    <t>Óleo Diesel (puro)</t>
  </si>
  <si>
    <t>Óleos Residuais</t>
  </si>
  <si>
    <t>Outros Produtos de Petróleo</t>
  </si>
  <si>
    <t>Parafina</t>
  </si>
  <si>
    <t>Petróleo Bruto</t>
  </si>
  <si>
    <t>Querosene de Aviação</t>
  </si>
  <si>
    <t>Querosene Iluminante</t>
  </si>
  <si>
    <t>Resíduos Municipais (fração não-biomassa)</t>
  </si>
  <si>
    <t>Solventes</t>
  </si>
  <si>
    <t>Turfa</t>
  </si>
  <si>
    <t>Xisto Betuminoso e Areias Betuminosas</t>
  </si>
  <si>
    <t>Plantio total:</t>
  </si>
  <si>
    <t>Adensamento:</t>
  </si>
  <si>
    <t>Enriquecimento:</t>
  </si>
  <si>
    <t>Isolamento:</t>
  </si>
  <si>
    <t>%</t>
  </si>
  <si>
    <t>Aspectos qualitativos</t>
  </si>
  <si>
    <t>Sim</t>
  </si>
  <si>
    <t>Estimativa da qualidade da implantação do projeto:</t>
  </si>
  <si>
    <t>Acompanhado por engenheiro florestal e/ou outro profissional qualificado:</t>
  </si>
  <si>
    <t>Análise de solo e eventual correção:</t>
  </si>
  <si>
    <t>Retirada do fator degradante (cercamento, aceiros, combate a exóticas, etc.):</t>
  </si>
  <si>
    <t>Combate a formigas:</t>
  </si>
  <si>
    <t>Diferenciação em campo da localização de espécies pioneiras e de diversidade:</t>
  </si>
  <si>
    <t>Manutenções periódicas:</t>
  </si>
  <si>
    <t>Previsões de adubações de base e cobertura:</t>
  </si>
  <si>
    <t>Proximidade a fragmentos de vegetação natural com banco de sementes:</t>
  </si>
  <si>
    <t>Outros:</t>
  </si>
  <si>
    <t>2. Emissões Evitadas por Desmatamento</t>
  </si>
  <si>
    <t>ao ano</t>
  </si>
  <si>
    <t>anos</t>
  </si>
  <si>
    <t>Possui algum tipo de certificação e/ou PDD aprovado (VCS e/ou FSC e/ou CCB)?</t>
  </si>
  <si>
    <t>Existem conflitos sobre a titularidade/posse da terra na região?</t>
  </si>
  <si>
    <t>Não</t>
  </si>
  <si>
    <t>A verificação da cobertura florestal e taxas de desmatamento é baseada numa 
combinação de imagens de senso remoto de satélite e apoiada por verificação no solo (visitas em loco)?</t>
  </si>
  <si>
    <t>Amazônia</t>
  </si>
  <si>
    <t>Floresta Ombrófila Aberta Aluvial</t>
  </si>
  <si>
    <t>Floresta Ombrófila Aberta Terras Baixas</t>
  </si>
  <si>
    <t>Floresta Ombrófila Aberta Submontana</t>
  </si>
  <si>
    <t>Floresta Estacional Decidual Terras Baixas</t>
  </si>
  <si>
    <t>Floresta Estacional Decidual Submontana</t>
  </si>
  <si>
    <t>Floresta Ombrófila Densa Aluvial</t>
  </si>
  <si>
    <t>Floresta Ombrófila Densa de Terras Baixas</t>
  </si>
  <si>
    <t>Floresta Ombrófila Densa Montana</t>
  </si>
  <si>
    <t>Floresta Ombrófila Densa Submontana</t>
  </si>
  <si>
    <t>Floresta Estacional Semidecidual aluvial</t>
  </si>
  <si>
    <t>Floresta Estacional Semidecidual de terras baixas</t>
  </si>
  <si>
    <t>Floresta Estacional Semidecidual montana</t>
  </si>
  <si>
    <t>Floresta Estacional Semidecidual Submontana</t>
  </si>
  <si>
    <t>Campinarana Arborizada</t>
  </si>
  <si>
    <t>Campinarana Arbustiva</t>
  </si>
  <si>
    <t>Campinarana gramíneo lenhosa</t>
  </si>
  <si>
    <t>Campinarana Florestada</t>
  </si>
  <si>
    <t>Vegetação com influência fluvial e/ou lacustre</t>
  </si>
  <si>
    <t>Pioneiras com influência fluviomarinha (mangue)</t>
  </si>
  <si>
    <t>Pioneiras com influência Marinha (restinga)</t>
  </si>
  <si>
    <t>Refúgio Montano</t>
  </si>
  <si>
    <t>Refúgio Submontano</t>
  </si>
  <si>
    <t>Savana Arborizada</t>
  </si>
  <si>
    <t>Savana Florestada</t>
  </si>
  <si>
    <t>Savana Gramíneo-Lenhosa</t>
  </si>
  <si>
    <t>Savana Parque</t>
  </si>
  <si>
    <t>Savana Estépica Arborizada</t>
  </si>
  <si>
    <t>Savana Estépica Florestada</t>
  </si>
  <si>
    <t>Savana Estépica Gramíneo Lenhosa</t>
  </si>
  <si>
    <t>Savana Estépica Parque</t>
  </si>
  <si>
    <t>Caatinga</t>
  </si>
  <si>
    <t>Floresta Ombrófila Aberta Montana</t>
  </si>
  <si>
    <t>Floresta Estacional Decidual Montana</t>
  </si>
  <si>
    <t>Refúgio Alto-Montano</t>
  </si>
  <si>
    <t>Cerrado</t>
  </si>
  <si>
    <t>Estepe Arborizada</t>
  </si>
  <si>
    <t>Floresta Ombrófila Mista Alto Montana</t>
  </si>
  <si>
    <t>Floresta Ombrófila Mista Montana</t>
  </si>
  <si>
    <t>Mata Atlântica</t>
  </si>
  <si>
    <t>Floresta Estacional Decidual Aluvial</t>
  </si>
  <si>
    <t>Floresta Ombrófila Densa Alto-Montana</t>
  </si>
  <si>
    <t>Estepe Gramíneo Lenhosa</t>
  </si>
  <si>
    <t>Floresta Ombrófila Mista Aluvial</t>
  </si>
  <si>
    <t>Floresta Ombrófila Mista submontana</t>
  </si>
  <si>
    <t>Pampa</t>
  </si>
  <si>
    <t>Pantanal</t>
  </si>
  <si>
    <t>Agricultura anual</t>
  </si>
  <si>
    <t>Buffer</t>
  </si>
  <si>
    <t>Ruim</t>
  </si>
  <si>
    <t>Biomas</t>
  </si>
  <si>
    <t xml:space="preserve">Selecione o bioma </t>
  </si>
  <si>
    <t>Regular</t>
  </si>
  <si>
    <t>primeiro</t>
  </si>
  <si>
    <t>Bom</t>
  </si>
  <si>
    <t>Madeireiro</t>
  </si>
  <si>
    <t>Não madeireiro</t>
  </si>
  <si>
    <t>Ambos</t>
  </si>
  <si>
    <t>Uso da terra ex-ante</t>
  </si>
  <si>
    <t>tC/ha</t>
  </si>
  <si>
    <t>Area florestal remanescente com a implantação do projeto (ha)</t>
  </si>
  <si>
    <t>Emissões evitadas (tCO2e/ano)</t>
  </si>
  <si>
    <t>Não-performance</t>
  </si>
  <si>
    <t>Emissões evitadas líquidas (tCO2e/ano)</t>
  </si>
  <si>
    <t>Se = 3</t>
  </si>
  <si>
    <t>Se entre 1 e 3</t>
  </si>
  <si>
    <t>Se &lt;1</t>
  </si>
  <si>
    <t>A verificação da cobertura florestal e taxas de desmatamento baseada numa combinação de imagens de senso remoto de satélite e apoiada por verificação no solo (visitas em loco).</t>
  </si>
  <si>
    <t>Cultura agrícola</t>
  </si>
  <si>
    <t>Maracujá</t>
  </si>
  <si>
    <t>-</t>
  </si>
  <si>
    <t>Área (ha)</t>
  </si>
  <si>
    <t>Tipo de análise</t>
  </si>
  <si>
    <t>LLI</t>
  </si>
  <si>
    <t>Café</t>
  </si>
  <si>
    <t>Códigos uso de solo</t>
  </si>
  <si>
    <t>Campo</t>
  </si>
  <si>
    <t>Floresta Alter.</t>
  </si>
  <si>
    <t>Capoeira</t>
  </si>
  <si>
    <t>Várzea Lenhosa</t>
  </si>
  <si>
    <t>Várzea Herbacea</t>
  </si>
  <si>
    <t>Camp. Rup</t>
  </si>
  <si>
    <t>Pomar &amp; cia</t>
  </si>
  <si>
    <t>Cult. Perene</t>
  </si>
  <si>
    <t>Pastagem Plant.</t>
  </si>
  <si>
    <t>Baixa urbaniz.</t>
  </si>
  <si>
    <t>Solo exposto</t>
  </si>
  <si>
    <t>Água</t>
  </si>
  <si>
    <t>Nível 1</t>
  </si>
  <si>
    <t>Nível 2</t>
  </si>
  <si>
    <t>Nível 3</t>
  </si>
  <si>
    <t>Descrição</t>
  </si>
  <si>
    <t>Código</t>
  </si>
  <si>
    <t>Natural, seminatural</t>
  </si>
  <si>
    <t>Uso do solo</t>
  </si>
  <si>
    <t>Floresta Preserv.</t>
  </si>
  <si>
    <t>Floresta</t>
  </si>
  <si>
    <t>Floresta preservada</t>
  </si>
  <si>
    <t>Floresta alterada</t>
  </si>
  <si>
    <t>m = 1</t>
  </si>
  <si>
    <t>m = 2</t>
  </si>
  <si>
    <t>m = 3</t>
  </si>
  <si>
    <t>m = 4</t>
  </si>
  <si>
    <t>m = 5</t>
  </si>
  <si>
    <t>m = 6</t>
  </si>
  <si>
    <t>m = 7</t>
  </si>
  <si>
    <t>m = 8</t>
  </si>
  <si>
    <t>m = 9</t>
  </si>
  <si>
    <t>m = 10</t>
  </si>
  <si>
    <t>m = 11</t>
  </si>
  <si>
    <t>m = 12</t>
  </si>
  <si>
    <t>Tetragonisca angustula</t>
  </si>
  <si>
    <t>Melipona fasciata</t>
  </si>
  <si>
    <t>Capoeiras</t>
  </si>
  <si>
    <t>Apis mellifera</t>
  </si>
  <si>
    <t>Varzea</t>
  </si>
  <si>
    <t>lenhosa</t>
  </si>
  <si>
    <t>Várzea</t>
  </si>
  <si>
    <t>Vegetação ruderal</t>
  </si>
  <si>
    <t>Áreas de produção</t>
  </si>
  <si>
    <t>Pomares e semelhantes</t>
  </si>
  <si>
    <t>Culturas perenes</t>
  </si>
  <si>
    <t>Culturas anuais</t>
  </si>
  <si>
    <t>Grãos em geral legumes, etc.</t>
  </si>
  <si>
    <t>Cult. Anual</t>
  </si>
  <si>
    <t>Pastagens</t>
  </si>
  <si>
    <t>Pastagens plantadas</t>
  </si>
  <si>
    <t>Pastagens intensamente manejadas</t>
  </si>
  <si>
    <t>Áreas urbanizadas</t>
  </si>
  <si>
    <t>Baixa urbanização</t>
  </si>
  <si>
    <t>Menos de 50% da área coberta por construções, ruas, estacionamentos, etc.</t>
  </si>
  <si>
    <t>Alta urbanização</t>
  </si>
  <si>
    <t>Mais de 50% da área coberta por construções, ruas, estacionamentos, etc.</t>
  </si>
  <si>
    <t>Alta urbaniz.</t>
  </si>
  <si>
    <t>Áreas inadequadas</t>
  </si>
  <si>
    <t>Áreas sem vegetação</t>
  </si>
  <si>
    <t>Áreas sem vegetação e solo exposto, incluindo rochas expostas, dunas de areia, etc.</t>
  </si>
  <si>
    <t>Corpos d'água</t>
  </si>
  <si>
    <t>Rios e lagos</t>
  </si>
  <si>
    <t>Áreas cobertas permanentemente por água</t>
  </si>
  <si>
    <t>Importância da polinização feita por animais (zoofilia) para culturas agrícolas</t>
  </si>
  <si>
    <t>Cultura</t>
  </si>
  <si>
    <t>Colônias/ha*</t>
  </si>
  <si>
    <t>Abelhas/ha*</t>
  </si>
  <si>
    <t>Valor comercial</t>
  </si>
  <si>
    <t>Melão</t>
  </si>
  <si>
    <t>Melancia</t>
  </si>
  <si>
    <t>Citrullus lanatus</t>
  </si>
  <si>
    <t>Baseado em Greanleaf, 2007.</t>
  </si>
  <si>
    <t>Passiflora</t>
  </si>
  <si>
    <t>Maçã</t>
  </si>
  <si>
    <t>Malus</t>
  </si>
  <si>
    <t>Espécie</t>
  </si>
  <si>
    <t>Familia</t>
  </si>
  <si>
    <t>Fonte</t>
  </si>
  <si>
    <t>Soja</t>
  </si>
  <si>
    <t>Glycine</t>
  </si>
  <si>
    <t>3, 7</t>
  </si>
  <si>
    <t>Andrena barbilabris</t>
  </si>
  <si>
    <t>Andrenidae</t>
  </si>
  <si>
    <t>Coffea arabica</t>
  </si>
  <si>
    <t>Lonsdorf Landscape Index LLI</t>
  </si>
  <si>
    <t>Andrena cineraria</t>
  </si>
  <si>
    <t>Morango</t>
  </si>
  <si>
    <t>Fragaria</t>
  </si>
  <si>
    <t>Andrena clarkella</t>
  </si>
  <si>
    <t>Abacate</t>
  </si>
  <si>
    <t>Persea americana</t>
  </si>
  <si>
    <t>Abelhas</t>
  </si>
  <si>
    <t>Km</t>
  </si>
  <si>
    <t>Andrena flavipes</t>
  </si>
  <si>
    <t>Mirtilo</t>
  </si>
  <si>
    <t>Vaccinium</t>
  </si>
  <si>
    <t>Andrena vaga</t>
  </si>
  <si>
    <t>Amora</t>
  </si>
  <si>
    <t>Rubus</t>
  </si>
  <si>
    <t>Anthophora abrupta</t>
  </si>
  <si>
    <t>Apidae</t>
  </si>
  <si>
    <t>Repolho</t>
  </si>
  <si>
    <t>Brassica oleraceae capitata</t>
  </si>
  <si>
    <t>Anthophora fulvitarsis</t>
  </si>
  <si>
    <t>Canola</t>
  </si>
  <si>
    <t>Brassica</t>
  </si>
  <si>
    <t>Anthophora linsleyi</t>
  </si>
  <si>
    <t>Limão</t>
  </si>
  <si>
    <t>Citrus</t>
  </si>
  <si>
    <t>Apis cerana</t>
  </si>
  <si>
    <t>Laranja</t>
  </si>
  <si>
    <t>Apis dorsata</t>
  </si>
  <si>
    <t>Lima</t>
  </si>
  <si>
    <t>Apis florea</t>
  </si>
  <si>
    <t>Tangerina</t>
  </si>
  <si>
    <t>Toranja</t>
  </si>
  <si>
    <t>Bombus lapidarius</t>
  </si>
  <si>
    <t>Algodão</t>
  </si>
  <si>
    <t>Gopssypium</t>
  </si>
  <si>
    <t>Bombus lucorum</t>
  </si>
  <si>
    <t>Pepino</t>
  </si>
  <si>
    <t>Cucumis sativus</t>
  </si>
  <si>
    <t>Bombus muscorum</t>
  </si>
  <si>
    <t>Berinjela</t>
  </si>
  <si>
    <t>Solanum melangena</t>
  </si>
  <si>
    <t>Bombus pascuorum</t>
  </si>
  <si>
    <t>Kiwi</t>
  </si>
  <si>
    <t>Actinidia deliciosa</t>
  </si>
  <si>
    <t>Bombus pratorum</t>
  </si>
  <si>
    <t>Manga</t>
  </si>
  <si>
    <t>Mangifera indica</t>
  </si>
  <si>
    <t>Bombus terrestris</t>
  </si>
  <si>
    <t>Cabaça</t>
  </si>
  <si>
    <t>Lagenaria</t>
  </si>
  <si>
    <t>Cephalotrigona capitata</t>
  </si>
  <si>
    <t>Prunus persica</t>
  </si>
  <si>
    <t xml:space="preserve"> *</t>
  </si>
  <si>
    <t>Chelostoma florisomne</t>
  </si>
  <si>
    <t>Megachilidae</t>
  </si>
  <si>
    <t>Nectarina</t>
  </si>
  <si>
    <t>Chelostoma rapunculi</t>
  </si>
  <si>
    <t>Pera</t>
  </si>
  <si>
    <t>Pyrus</t>
  </si>
  <si>
    <t>Colletes cunicularius</t>
  </si>
  <si>
    <t>Colletidae</t>
  </si>
  <si>
    <t>Curcubita maxima</t>
  </si>
  <si>
    <t>Dasypoda altercator</t>
  </si>
  <si>
    <t>Melittidae</t>
  </si>
  <si>
    <t>Girassol</t>
  </si>
  <si>
    <t>Heliantus</t>
  </si>
  <si>
    <t>Eufriesea surinamensis</t>
  </si>
  <si>
    <t>Cereja</t>
  </si>
  <si>
    <t>Prunus</t>
  </si>
  <si>
    <t>Heterotrigona erythrogastra</t>
  </si>
  <si>
    <t>Fava</t>
  </si>
  <si>
    <t>Vicia faba</t>
  </si>
  <si>
    <t>Heterotrigona iridipennis</t>
  </si>
  <si>
    <t>Brassica oleraceae italica</t>
  </si>
  <si>
    <t>Hoplitis anthocopoides</t>
  </si>
  <si>
    <t>Couve Flor</t>
  </si>
  <si>
    <t>Brassica oleraceae</t>
  </si>
  <si>
    <t>Lasioglossum malachurum</t>
  </si>
  <si>
    <t>Halictidae</t>
  </si>
  <si>
    <t>Couve de Bruxelas</t>
  </si>
  <si>
    <t>Brassica oleraceae gemmifera</t>
  </si>
  <si>
    <t>Lasioglossum pauxillum</t>
  </si>
  <si>
    <t>Aspargos</t>
  </si>
  <si>
    <t>Asparagus officinalis</t>
  </si>
  <si>
    <t>Lasioglossum umbripenne</t>
  </si>
  <si>
    <t>Halicitidae</t>
  </si>
  <si>
    <t>Alcachofra</t>
  </si>
  <si>
    <t>Cynara</t>
  </si>
  <si>
    <t>Macrotera texana</t>
  </si>
  <si>
    <t>Cenoura</t>
  </si>
  <si>
    <t>Daucus</t>
  </si>
  <si>
    <t>Megachile flavipes</t>
  </si>
  <si>
    <t>Salsão</t>
  </si>
  <si>
    <t>Apium graveolens</t>
  </si>
  <si>
    <t>Megachile lapponica</t>
  </si>
  <si>
    <t>Rabanete</t>
  </si>
  <si>
    <t>Raphanus sativus</t>
  </si>
  <si>
    <t>Megachile nana</t>
  </si>
  <si>
    <t>Nabo</t>
  </si>
  <si>
    <t>Brassica rapa rapa</t>
  </si>
  <si>
    <t>Megachile parietina</t>
  </si>
  <si>
    <t>Linhaça</t>
  </si>
  <si>
    <t>Linum usitatissimum</t>
  </si>
  <si>
    <t>Megachile rotundata</t>
  </si>
  <si>
    <t>Alfafa</t>
  </si>
  <si>
    <t>Medicago sativa</t>
  </si>
  <si>
    <t xml:space="preserve">* </t>
  </si>
  <si>
    <t>log10 (d) = log10 a + b log10 (T), onde d = maximum homing distance (Greanleaf et al 2007)</t>
  </si>
  <si>
    <t>Megachile sicula</t>
  </si>
  <si>
    <t>Tremoço</t>
  </si>
  <si>
    <t>Luoinus angustifolius</t>
  </si>
  <si>
    <t>Damasco</t>
  </si>
  <si>
    <t>Prunus armeniaca</t>
  </si>
  <si>
    <t>CÁLCULOS</t>
  </si>
  <si>
    <t>Melipona flavipennis</t>
  </si>
  <si>
    <t>Groselha</t>
  </si>
  <si>
    <t>Ribis rubrum/grossularia</t>
  </si>
  <si>
    <t>Melipona panamica</t>
  </si>
  <si>
    <t>Cassis</t>
  </si>
  <si>
    <t>Ribis nigrum</t>
  </si>
  <si>
    <t>MÉTODO 1</t>
  </si>
  <si>
    <t>Nannotrigona perilampoides</t>
  </si>
  <si>
    <t>Uva</t>
  </si>
  <si>
    <t>Vitis</t>
  </si>
  <si>
    <t>Nomia melanderi</t>
  </si>
  <si>
    <t>Goiaba</t>
  </si>
  <si>
    <t>Psidium</t>
  </si>
  <si>
    <t>Osmia cornifrons</t>
  </si>
  <si>
    <t>Jaca</t>
  </si>
  <si>
    <t>Artocarpus heterophyllus</t>
  </si>
  <si>
    <t>Osmia lignaria propinqua</t>
  </si>
  <si>
    <t>Ameixa</t>
  </si>
  <si>
    <t>Osmia maritime</t>
  </si>
  <si>
    <t>Coentro</t>
  </si>
  <si>
    <t>Coriandrum sativum</t>
  </si>
  <si>
    <t>Osmia mustelina</t>
  </si>
  <si>
    <t>Camellia sinensis</t>
  </si>
  <si>
    <t>Osmia pedicornis</t>
  </si>
  <si>
    <t>Lavanda</t>
  </si>
  <si>
    <t>Lanandula</t>
  </si>
  <si>
    <t>Osmia rufa</t>
  </si>
  <si>
    <t>Coco</t>
  </si>
  <si>
    <t>Cocus nucifera</t>
  </si>
  <si>
    <t>Panurgus banksianus</t>
  </si>
  <si>
    <t>Noz macadamia</t>
  </si>
  <si>
    <t>Macadamia</t>
  </si>
  <si>
    <t>Partamona aff cupira</t>
  </si>
  <si>
    <t>Amendoim</t>
  </si>
  <si>
    <t>Arachis hypogaea</t>
  </si>
  <si>
    <t>Plebeia mosquito</t>
  </si>
  <si>
    <t>Scaptotrigona luteipennis</t>
  </si>
  <si>
    <t>Systropha planidens</t>
  </si>
  <si>
    <t>Tetraloniella dentata</t>
  </si>
  <si>
    <t>Freitas, B. M.; Nunes-Silva, P. 2012.</t>
  </si>
  <si>
    <t>Tetraloniella salicariae</t>
  </si>
  <si>
    <t>Polinização agrícola e sua importância no Brasil. Em  Polinizadores no Brasil: Contribuição e perspectivas para biodiversidade,</t>
  </si>
  <si>
    <t>MÉTODO 2</t>
  </si>
  <si>
    <t>Trigona amalthea</t>
  </si>
  <si>
    <t>uso sustentável, conservação e serviços ambientais</t>
  </si>
  <si>
    <t>Trigona corvina</t>
  </si>
  <si>
    <t>Imperatriz-Fonseca, V. L.; Saraiva, A. M.; Canhos, D. A. L.; Alves, D. A. (Organizadores). Editora da Universidade de S. Paulo. 477p .</t>
  </si>
  <si>
    <t>Trigona spinipes</t>
  </si>
  <si>
    <t xml:space="preserve">Klat, B. K.; Holzschuh, A.; Westphal, C.; Clough, Y.; Smit, I.; Palwelzik, E.; Tscharntke, T. 2013. </t>
  </si>
  <si>
    <t>Xylocopa rufa</t>
  </si>
  <si>
    <t>Bee pollination improves crop quality, shelf life and commercial value</t>
  </si>
  <si>
    <t>Xylocopa violacea</t>
  </si>
  <si>
    <t xml:space="preserve">Proceedengs of the Royal Society B 281: 20132440 </t>
  </si>
  <si>
    <t xml:space="preserve"> http://dx.doi.org/10.1098/rspb.2013.2440</t>
  </si>
  <si>
    <t>Xylocopa virginica</t>
  </si>
  <si>
    <t>Milfont. M. O.; Rocha, E. E. M.; Lima, A. O. N.; Freitas, B. M. 2013.</t>
  </si>
  <si>
    <t>Fonte: Greenleaf 2007</t>
  </si>
  <si>
    <t>Higher soybean production using honeybee and wild pollinators, a sustainable alternative to pesticides and autopollination</t>
  </si>
  <si>
    <t>Environmental Chemistry Letters 11 (4): 335-341</t>
  </si>
  <si>
    <t>Ricketts, T. H. 2004</t>
  </si>
  <si>
    <t>Tropical Forest Fragments Enhance Pollinator Activity in Nearby Coffee Crops</t>
  </si>
  <si>
    <t>Conservation Biology 18 (5): 1262-1271</t>
  </si>
  <si>
    <t>Bradbear, N. 2009</t>
  </si>
  <si>
    <t>Bees and their role in forest livelihoods: a guide to the services provided by bees and the sustainable harvesting,</t>
  </si>
  <si>
    <t>processing and marketing of their products.</t>
  </si>
  <si>
    <t>Canadian Association of Professional Apiculturists (CAPA). 1999.</t>
  </si>
  <si>
    <t>A Guide to: managing bees for crop pollination</t>
  </si>
  <si>
    <t>Manning, R.</t>
  </si>
  <si>
    <t>Acesso em 2014: http://archive.agric.wa.gov.au/PC_91801.html?s=467312065</t>
  </si>
  <si>
    <t>Honeybee pollination : technical data for potential honeybee-pollinated crops and orchards in Western Australia</t>
  </si>
  <si>
    <t>Department of Agriculture and Food. Government of Australia</t>
  </si>
  <si>
    <t>a</t>
  </si>
  <si>
    <t>b</t>
  </si>
  <si>
    <t>Campos rupestres e remanescentes em áreas antropizadas</t>
  </si>
  <si>
    <t>Adaptado de Kennedy et al 2013</t>
  </si>
  <si>
    <t>Localidade/ Região</t>
  </si>
  <si>
    <t>R</t>
  </si>
  <si>
    <t>Referência</t>
  </si>
  <si>
    <t>Manejo Convencional</t>
  </si>
  <si>
    <t>CP</t>
  </si>
  <si>
    <t>Classe do solo</t>
  </si>
  <si>
    <t>K</t>
  </si>
  <si>
    <t>Campinas (SP)</t>
  </si>
  <si>
    <t>Lombardi Neto; Moldenhauer (1992)</t>
  </si>
  <si>
    <t>Grãos</t>
  </si>
  <si>
    <t>Horizonte A</t>
  </si>
  <si>
    <t>São Carlos (SP)</t>
  </si>
  <si>
    <t>Pedro e Lorandi (2004)</t>
  </si>
  <si>
    <t>Alissolo Crômico Argilúvico abrúptico A moderado textura média/muito argilosa</t>
  </si>
  <si>
    <t>Teodoro Sampaio (SP)</t>
  </si>
  <si>
    <t>Colodro et al (2002)</t>
  </si>
  <si>
    <t>Mandioca</t>
  </si>
  <si>
    <t>Argissolo Amarelo Distrófico arênico A moderado textura arenosa/média</t>
  </si>
  <si>
    <t>Mococa (SP)</t>
  </si>
  <si>
    <t>Carvalho et al. (1989 apud Costa et al., 2005)</t>
  </si>
  <si>
    <t>Cana-de-açúcar</t>
  </si>
  <si>
    <t>Argissolo Vermelho Eutrófico típico A moderado textura média/argilosa</t>
  </si>
  <si>
    <t>Rio de Janeiro (RJ); altitude 40 m</t>
  </si>
  <si>
    <t>Gonçalves et al. (2006)</t>
  </si>
  <si>
    <t>Batata</t>
  </si>
  <si>
    <t>Argissolo Vermelho-Amarelo Distrófico típico A moderado textura média/argilosa</t>
  </si>
  <si>
    <t>Rio de Janeiro (RJ); altitude 460 m</t>
  </si>
  <si>
    <t>Argissolo Vermelho Eutrófico câmbico A moderado textura argilosa/muito argilosa</t>
  </si>
  <si>
    <t>Lavras (MG)</t>
  </si>
  <si>
    <t>Silva et al. (2009)</t>
  </si>
  <si>
    <t>Hortaliças</t>
  </si>
  <si>
    <t>Cambissolo Háplico Tb Distrófico típico</t>
  </si>
  <si>
    <t>Sete Lagoas (MG)</t>
  </si>
  <si>
    <t>Melo; Alvarenga; Curi (1998 apud Costa et al. 2005)</t>
  </si>
  <si>
    <t>Pastagem degradada</t>
  </si>
  <si>
    <t>Cambissolo Háplico Tb Distrófico latossólico</t>
  </si>
  <si>
    <t>Curitiba (PR)</t>
  </si>
  <si>
    <t>Waltrick (2010)</t>
  </si>
  <si>
    <t>Capoeira degradada</t>
  </si>
  <si>
    <t>Cambissolo Húmico Distrófico latossólico</t>
  </si>
  <si>
    <t>Pato Branco (PR)</t>
  </si>
  <si>
    <t>Cascalheira/ solo nú</t>
  </si>
  <si>
    <t>Cambissolo Háplico Tb Eutrófico típico A moderado textura média</t>
  </si>
  <si>
    <t>Lages (SC)</t>
  </si>
  <si>
    <t>Bertol (1993 apud Costa et al., 2005)</t>
  </si>
  <si>
    <t>Manejo Conservacionista</t>
  </si>
  <si>
    <t>Espodossolo Ferrocárbico Hidromórfico típico</t>
  </si>
  <si>
    <t>Petrolina (PE)/ Juazeiro(BA)</t>
  </si>
  <si>
    <t>Lopes &amp; Brito (1993 apud Costa et al., 2005)</t>
  </si>
  <si>
    <t>Grãos, rotação</t>
  </si>
  <si>
    <t>Gleissolo Háplico Ta Distrófico típico A moderado textura errática</t>
  </si>
  <si>
    <t>Fortaleza (CE)</t>
  </si>
  <si>
    <t>Silva e Dias (2003)</t>
  </si>
  <si>
    <t>Grãos, em nível</t>
  </si>
  <si>
    <t>Latossolo Vermelho Distroférrico típico A moderado textura muito argilosa</t>
  </si>
  <si>
    <t>Brasília (DF)</t>
  </si>
  <si>
    <t>Dedecek (1998 apud Costa et al., 2005)</t>
  </si>
  <si>
    <t>Grãos, rotação, em nível</t>
  </si>
  <si>
    <t>Latossolo Vermelho Ácrico típico A moderado textura muito argilosa</t>
  </si>
  <si>
    <t>Cáceres (MT)</t>
  </si>
  <si>
    <t>Morais et al. (1991 apud Costa et al., 2005)</t>
  </si>
  <si>
    <t>Grãos, faixas vegetadas</t>
  </si>
  <si>
    <t>Latossolo Vermelho Distrófico típico A moderado textura muito argilosa</t>
  </si>
  <si>
    <t>Cuiabá (MT)</t>
  </si>
  <si>
    <t>Salton; Comunello; Fietz (2013)</t>
  </si>
  <si>
    <t>Grãos, cordões vegetação</t>
  </si>
  <si>
    <t>Latossolo Amarelo Distrófico típico A proeminente textura média</t>
  </si>
  <si>
    <t>Goiânia (GO)</t>
  </si>
  <si>
    <t>Silva et al. (1997 apud Costa et al., 2005)</t>
  </si>
  <si>
    <t>Grãos, plantio direto</t>
  </si>
  <si>
    <t>Latossolo Vermelho Amarelo Distrófico A moderado textura argilosa</t>
  </si>
  <si>
    <t>Conceição do Araguaia (PA)</t>
  </si>
  <si>
    <t>Oliveira Junior (1996)</t>
  </si>
  <si>
    <t>Algodão/Mandioca, rotação</t>
  </si>
  <si>
    <t>Latossolo Vermelho Acriférrico típico</t>
  </si>
  <si>
    <t>Algodão/Mandioca, nível</t>
  </si>
  <si>
    <t>Luvissolo Crômico Pálico arênico A moderado textura arenosa/média</t>
  </si>
  <si>
    <t>Algodão/Mandioca, plantio direto</t>
  </si>
  <si>
    <t>Luvissolo Crômico Pálico planossólico A moderado textura arenosa/média</t>
  </si>
  <si>
    <t>Cana, em nível</t>
  </si>
  <si>
    <t>Neossolo Quartzarênico Órtico típico A fraco</t>
  </si>
  <si>
    <t>Cana, em faixas</t>
  </si>
  <si>
    <t>Nitossolo Háplico Distrófico típico A moderado textura média/argilosa</t>
  </si>
  <si>
    <t>Batata, em nível</t>
  </si>
  <si>
    <t>Nitossolo Vermelho Distrófico latossólico A moderado textura argilosa/muito argilosa</t>
  </si>
  <si>
    <t>Batata, em faixas</t>
  </si>
  <si>
    <t>Nitossolo Háplico Eutroférrico chernossólico</t>
  </si>
  <si>
    <t>Café, em nível</t>
  </si>
  <si>
    <t>Nitossolo Vermelho Eutroférrico típico A moderado textura muito argilosa</t>
  </si>
  <si>
    <t>Café, em faixas</t>
  </si>
  <si>
    <t>Planossolo Hidromórfico Eutrófico típico A proeminente textura média/argilosa</t>
  </si>
  <si>
    <t>Hortaliças, em nível</t>
  </si>
  <si>
    <t>Fonte: Mannigel et al. (2002)</t>
  </si>
  <si>
    <t>Pastagem recuperada</t>
  </si>
  <si>
    <t>Pastagem, rotação c/ grãos</t>
  </si>
  <si>
    <t>Fator erodibilidade K
(t.ha.h/ha.MJ.mm)</t>
  </si>
  <si>
    <t>Reflorestamento denso</t>
  </si>
  <si>
    <t>Reflorestamento ralo</t>
  </si>
  <si>
    <t>Argissolo amarelo</t>
  </si>
  <si>
    <t>Argissolo vermelho</t>
  </si>
  <si>
    <t>Argissolo vermelho-amarelo</t>
  </si>
  <si>
    <t>Cambissolo háplico</t>
  </si>
  <si>
    <t>Cambissolo húmico</t>
  </si>
  <si>
    <t>Gleissolo háplico</t>
  </si>
  <si>
    <t>Latossolo vermelho</t>
  </si>
  <si>
    <t>Latossolo amarelo</t>
  </si>
  <si>
    <t>Latossolo vermelho-amarelo</t>
  </si>
  <si>
    <t>Luvissolo crômico</t>
  </si>
  <si>
    <t>Neossolo quartzarênico</t>
  </si>
  <si>
    <t>Nitossolo háplico</t>
  </si>
  <si>
    <t>Floresta nativa conservada/Reflorestamento denso</t>
  </si>
  <si>
    <t>Floresta nativa degradada/Reflorestamento ralo</t>
  </si>
  <si>
    <t>Adaptado de Chaves et al 2010</t>
  </si>
  <si>
    <t>A adaptação diz respeito à inclusão dos tipos</t>
  </si>
  <si>
    <t>Floresta conservada e floresta degradada junto aos</t>
  </si>
  <si>
    <t>tipos de reflorestamento</t>
  </si>
  <si>
    <t>ha</t>
  </si>
  <si>
    <t>visitantes/período</t>
  </si>
  <si>
    <t>REGULAÇÃO DE POLINIZAÇÃO</t>
  </si>
  <si>
    <t>Áreas dependentes de polinização (n)</t>
  </si>
  <si>
    <t>Culturas agrícolas (j)</t>
  </si>
  <si>
    <t>Tabela 1.2 -Totalização dos valores de impacto</t>
  </si>
  <si>
    <t>Unidades</t>
  </si>
  <si>
    <t xml:space="preserve">Valor  </t>
  </si>
  <si>
    <t>Epca</t>
  </si>
  <si>
    <t>REGULAÇÃO DO CLIMA GLOBAL</t>
  </si>
  <si>
    <t>Selecione o bioma em que o projeto está localizado</t>
  </si>
  <si>
    <t>QUANTIFICAÇÃO E VALORAÇÃO</t>
  </si>
  <si>
    <t xml:space="preserve">DBc </t>
  </si>
  <si>
    <t xml:space="preserve">IBc </t>
  </si>
  <si>
    <t>ASSIMILAÇÃO DE EFLUENTES LÍQUIDOS</t>
  </si>
  <si>
    <t>Ee</t>
  </si>
  <si>
    <t xml:space="preserve">Valor total </t>
  </si>
  <si>
    <t xml:space="preserve">Estão disponíveis duas abordagens de quantificação e valoração para o serviço ecossistêmico de regulação do clima global. Escolha o mais adequado e abra o grupo de células para preenchimento: </t>
  </si>
  <si>
    <t>Observações</t>
  </si>
  <si>
    <t>Selecione o uso do solo após o desmatamento</t>
  </si>
  <si>
    <t>Selecione a fitofisionomia predominante na área</t>
  </si>
  <si>
    <t>Provisão de não performance do projeto</t>
  </si>
  <si>
    <t>RECREAÇÃO E TURISMO</t>
  </si>
  <si>
    <t xml:space="preserve">Cultura agrícula não listada anteriormente: </t>
  </si>
  <si>
    <t xml:space="preserve">Em caso de dúvidas sobre as alternativas de uso de solo listadas, clique aqui. </t>
  </si>
  <si>
    <t>Quando não tiver dados a inserir, deixe a célula em branco.</t>
  </si>
  <si>
    <t>Ti (mm)</t>
  </si>
  <si>
    <t xml:space="preserve">di (km) </t>
  </si>
  <si>
    <t/>
  </si>
  <si>
    <t>Tabela 2.4 - Totalização dos valores de dependência</t>
  </si>
  <si>
    <t>Tabela 2.5 - Totalização dos valores de impacto</t>
  </si>
  <si>
    <t>Tabela 2.6 - Totalização dos valores de externalidade</t>
  </si>
  <si>
    <t>Bioma em que o projeto está localizado</t>
  </si>
  <si>
    <t>Fitofisionomia predominante a ser restaurada</t>
  </si>
  <si>
    <t>% de implantação do projeto a ser quantificada (se projeto todo = 100%)</t>
  </si>
  <si>
    <t>m</t>
  </si>
  <si>
    <t>Valoração</t>
  </si>
  <si>
    <t>t / ha.ano</t>
  </si>
  <si>
    <t>t/ha</t>
  </si>
  <si>
    <t xml:space="preserve">Nitrogênio (N) </t>
  </si>
  <si>
    <t xml:space="preserve">Fósforo (P) </t>
  </si>
  <si>
    <t xml:space="preserve">Potássio (K) </t>
  </si>
  <si>
    <t xml:space="preserve">Outro 1 (O1) </t>
  </si>
  <si>
    <t>Nitrogênio (N)</t>
  </si>
  <si>
    <t>Outro 2 (O2)</t>
  </si>
  <si>
    <t>Único</t>
  </si>
  <si>
    <t xml:space="preserve">1. Perda de nutrientes </t>
  </si>
  <si>
    <t>PNs</t>
  </si>
  <si>
    <t>R$/ha</t>
  </si>
  <si>
    <t xml:space="preserve">2. Turbidez no corpo d'água </t>
  </si>
  <si>
    <t>Tca</t>
  </si>
  <si>
    <t>em L/s</t>
  </si>
  <si>
    <t>Valor Financeiro</t>
  </si>
  <si>
    <t xml:space="preserve">Valor Econômico </t>
  </si>
  <si>
    <t xml:space="preserve">1. Reposição de polinização </t>
  </si>
  <si>
    <t>Outros</t>
  </si>
  <si>
    <t xml:space="preserve">2. Polinização selvagem </t>
  </si>
  <si>
    <t>Se refere aos serviço ecossistêmico de polinização autóctone (polinizadores residentes na região)</t>
  </si>
  <si>
    <t>Lista suspensa</t>
  </si>
  <si>
    <t>Dependência e impacto</t>
  </si>
  <si>
    <t>Se não souber, deixe em branco.</t>
  </si>
  <si>
    <t>Tabela 2.1 - Dados de uso do solo, área e distância da área provedora de polinizadores</t>
  </si>
  <si>
    <t>Caso não encontre as espécies diagnosticadas na tabela abaixo, use a Tabela 2.3 a seguir.</t>
  </si>
  <si>
    <t>Impacto e externalidade</t>
  </si>
  <si>
    <t>n/ha</t>
  </si>
  <si>
    <t>Se refere ao serviço ambiental de polinização alóctone (aluguel de colméias e polinização manual)</t>
  </si>
  <si>
    <t xml:space="preserve">Externalidade </t>
  </si>
  <si>
    <t>Biomassa utilizada atualmente no processo produtivo</t>
  </si>
  <si>
    <t>Biomassa</t>
  </si>
  <si>
    <t xml:space="preserve">Alternativa energética mais custo-eficaz para substituir a biomassa </t>
  </si>
  <si>
    <t xml:space="preserve">Unidade </t>
  </si>
  <si>
    <t>Unidades de preço</t>
  </si>
  <si>
    <t>Fator de Emissão para cálculo</t>
  </si>
  <si>
    <t xml:space="preserve">Instruções </t>
  </si>
  <si>
    <t>Parâmetro</t>
  </si>
  <si>
    <t>Recursos Hídricos Superficiais</t>
  </si>
  <si>
    <t>Água Subterrâneas</t>
  </si>
  <si>
    <t>em 100mL</t>
  </si>
  <si>
    <t>unidades</t>
  </si>
  <si>
    <t xml:space="preserve">Categoria do corpo d´água </t>
  </si>
  <si>
    <t>1. Emissões Líquidas</t>
  </si>
  <si>
    <t xml:space="preserve">Se indisponível, deixe em branco. </t>
  </si>
  <si>
    <t>Adota-se US$ 38</t>
  </si>
  <si>
    <t xml:space="preserve">Se indisponível, clique aqui.  </t>
  </si>
  <si>
    <t>Se indisponível, deixe em branco.</t>
  </si>
  <si>
    <t>APOIO ASSIMILAÇÃO DE EFLUENTES</t>
  </si>
  <si>
    <t>UNT</t>
  </si>
  <si>
    <t>mg/L O2</t>
  </si>
  <si>
    <t>mg Pt/L</t>
  </si>
  <si>
    <t>μg/L</t>
  </si>
  <si>
    <t>mg/L</t>
  </si>
  <si>
    <t>mg/L Al</t>
  </si>
  <si>
    <t>mg/L Sb</t>
  </si>
  <si>
    <t>PROVISÃO DE BIOMASSA COMBUSTÍVEL</t>
  </si>
  <si>
    <t>Densidade</t>
  </si>
  <si>
    <t>Fator de Emissão</t>
  </si>
  <si>
    <t xml:space="preserve">Combustível </t>
  </si>
  <si>
    <t>Parâmetro a ser avaliado</t>
  </si>
  <si>
    <t>mg/L Cl</t>
  </si>
  <si>
    <t>visitantes</t>
  </si>
  <si>
    <t>Nv/P</t>
  </si>
  <si>
    <t>Preencha com os valores obtidos para cada situação avaliada</t>
  </si>
  <si>
    <t>Tabela 1.1 - Totalização dos valores de dependência (R$)</t>
  </si>
  <si>
    <t>DPcaj (relativo)</t>
  </si>
  <si>
    <t>R$/ton</t>
  </si>
  <si>
    <t>di (km)</t>
  </si>
  <si>
    <t>Valor (R$)</t>
  </si>
  <si>
    <t>DBc (%)</t>
  </si>
  <si>
    <t>kg/unidade</t>
  </si>
  <si>
    <t>Para padrões de lançamento de efluentes, clique aqui.</t>
  </si>
  <si>
    <t>Valor Econômico</t>
  </si>
  <si>
    <t>Cenários</t>
  </si>
  <si>
    <t>Valor financeiro</t>
  </si>
  <si>
    <t>REGULAÇÃO DA EROSÃO DO SOLO</t>
  </si>
  <si>
    <t>Distância, em m, entre o início e fim da rampa</t>
  </si>
  <si>
    <t>Diferença, em m, de altitude entre o início e fim da rampa</t>
  </si>
  <si>
    <t>t/ha.ano</t>
  </si>
  <si>
    <t>Cpmin</t>
  </si>
  <si>
    <t>Calcule LS a partir de um mapa de altitude, usando os campos abaixo:</t>
  </si>
  <si>
    <t xml:space="preserve">A área analisada (a montante das áreas relevantes para a empresa para dependência e impacto; e áreas relevantes para a empresa em externalidade) deve ser subdividida em quantos módulos forem necessários (considerando-se módulos nos quais as variáveis que compõe a EUPS se distribuam de forma homogênea). Nesta ferramenta existem campos para até 6 módulos; caso exista um número maior de módulos será necessário acrescentar linhas nas tabelas, copiando-se a fórmula de Es da linha superior. </t>
  </si>
  <si>
    <t>Fator de erosividade da chuva, R, para diferentes localidades, em MJ mm/ha h ano</t>
  </si>
  <si>
    <t>APOIO EROSÃO DO SOLO</t>
  </si>
  <si>
    <t>Ver Planilha "Apoio_Erosão" para fatores default de R, K e CP</t>
  </si>
  <si>
    <t>Data</t>
  </si>
  <si>
    <t xml:space="preserve">Cenários </t>
  </si>
  <si>
    <t>IBc</t>
  </si>
  <si>
    <t>Coliformes termotolerantes por 100 mililitros em 80% ou mais de pelo menos 6 amostras coletadas durante o período de um ano, com periodicidade bimestral</t>
  </si>
  <si>
    <t>mg/L Ba</t>
  </si>
  <si>
    <t>Valores (R$)</t>
  </si>
  <si>
    <t>até 40 UNT</t>
  </si>
  <si>
    <t>APOIO POLINIZAÇÃO</t>
  </si>
  <si>
    <t xml:space="preserve">A área analisada deve ser subdividida em quantos módulos forem necessários (considerando-se módulos nos quais as variáveis que compõe a EUPS se distribuam de forma homogênea). Nesta ferramenta existem campos para até 6 módulos; caso exista um número maior de módulos será necessário acrescentar linhas nas tabelas, copiando-se a fórmula de Es da linha superior.  </t>
  </si>
  <si>
    <t>Ver Planilha "Apoio_Regulação da Erosão" para fatores default de R, K e CP</t>
  </si>
  <si>
    <t>ton/unidade</t>
  </si>
  <si>
    <t>Adimensional</t>
  </si>
  <si>
    <t>Biogás</t>
  </si>
  <si>
    <t>Lista Suspensa</t>
  </si>
  <si>
    <t>Provisão de Água</t>
  </si>
  <si>
    <t xml:space="preserve">Biomassa utilizada atualmente não listada anteriormente: </t>
  </si>
  <si>
    <t>Quantidade da alternativa mais custo-eficaz calculada automaticamente</t>
  </si>
  <si>
    <t>mm3/L</t>
  </si>
  <si>
    <t>mg/L Be</t>
  </si>
  <si>
    <t>mg/L B</t>
  </si>
  <si>
    <t>mg/L Cd</t>
  </si>
  <si>
    <t>mg/L Pb</t>
  </si>
  <si>
    <t>mg/L CN</t>
  </si>
  <si>
    <t>mg/L Co</t>
  </si>
  <si>
    <t>mg/L Cu</t>
  </si>
  <si>
    <t>mg/L Cr</t>
  </si>
  <si>
    <t>mg/L Fe</t>
  </si>
  <si>
    <t>mg/L P</t>
  </si>
  <si>
    <t>mg/L Li</t>
  </si>
  <si>
    <t>mg/L Mn</t>
  </si>
  <si>
    <t>mg/L Hg</t>
  </si>
  <si>
    <t>mg/L Ni</t>
  </si>
  <si>
    <t>mg/L N</t>
  </si>
  <si>
    <t>mg/L Ag</t>
  </si>
  <si>
    <t>mg/L Se</t>
  </si>
  <si>
    <t>mg/L SO4</t>
  </si>
  <si>
    <t>mg/L S</t>
  </si>
  <si>
    <t>mg/L U</t>
  </si>
  <si>
    <t>mg/L V</t>
  </si>
  <si>
    <t>mg/L Zn</t>
  </si>
  <si>
    <t>mg/L C6H5OH</t>
  </si>
  <si>
    <t>mg/L LAS</t>
  </si>
  <si>
    <t>μg/L TBT</t>
  </si>
  <si>
    <t>μg/L As</t>
  </si>
  <si>
    <t>ºC</t>
  </si>
  <si>
    <t>mL/L</t>
  </si>
  <si>
    <t>mg/L As</t>
  </si>
  <si>
    <t>mg/L Cr+6</t>
  </si>
  <si>
    <t>mg/L Cr+3</t>
  </si>
  <si>
    <t>mg/L Sn</t>
  </si>
  <si>
    <t>mg/L F</t>
  </si>
  <si>
    <t>mg/L C2H5OH</t>
  </si>
  <si>
    <t>Fator  de comprimento de rampa, LS, para várias combinações de grau de declividade e comprimento de rampa</t>
  </si>
  <si>
    <t>Comprimento de rampa (m)</t>
  </si>
  <si>
    <t>Declive %</t>
  </si>
  <si>
    <t>Fonte: Bertoni e Lombardi Neto (2008)</t>
  </si>
  <si>
    <t>Veja a tabela de LS ou calcule abaixo.</t>
  </si>
  <si>
    <t>Ex.: Artesanatos</t>
  </si>
  <si>
    <t>Outros custos na comunidade de entorno (média por pessoa)</t>
  </si>
  <si>
    <t>GJ/ton</t>
  </si>
  <si>
    <t>Na mesma unidade utilizada em Pcmax</t>
  </si>
  <si>
    <t xml:space="preserve">Parâmetro avaliado não listado anteriormente: </t>
  </si>
  <si>
    <t>Bioma da vegetação removida</t>
  </si>
  <si>
    <t>Fitofisionomia predominante da vegetação removida</t>
  </si>
  <si>
    <t>Estoque médio de carbono antes da implantação do projeto:</t>
  </si>
  <si>
    <t>Volume médio de carbono capturado por hectare pelo projeto:</t>
  </si>
  <si>
    <t>Conversão de unidades para Ns</t>
  </si>
  <si>
    <t>Fonte: Embrapa (2000)</t>
  </si>
  <si>
    <t>Células a serem preenchidas pelo usuário com os dados da organização</t>
  </si>
  <si>
    <t>Áreas dominadas por vegetação herbácea, em especial gramíneas, sem manejo intensivo, como gradagem ou arar. Considerar aqui a fitofisionomia de cerrado campo limpo</t>
  </si>
  <si>
    <t xml:space="preserve">Outros: </t>
  </si>
  <si>
    <t>Termo de isenção de responsabilidade</t>
  </si>
  <si>
    <t>Resultados referentes à dependência</t>
  </si>
  <si>
    <t>Resultados referentes ao impacto</t>
  </si>
  <si>
    <t>Resultados referentes à externalidade</t>
  </si>
  <si>
    <t>CINZA das abas da Ferramenta.  As demais contém fórmulas e não devem ser alteradas!</t>
  </si>
  <si>
    <t>das abas da Ferramenta.  As demais contém fórmulas e não devem ser alteradas!</t>
  </si>
  <si>
    <t>Provisão de Biomassa Combustível</t>
  </si>
  <si>
    <t>APOIO REGULAÇÃO DA QUALIDADE DA ÁGUA</t>
  </si>
  <si>
    <t>DQa</t>
  </si>
  <si>
    <t>Regulação da Qualidade da Água</t>
  </si>
  <si>
    <t xml:space="preserve">Regulação de Polinização - Reposição </t>
  </si>
  <si>
    <t>Regulação do Clima Global - Emissões Líquidas</t>
  </si>
  <si>
    <t>Regulação do Clima Global - Desmatamento Evitado</t>
  </si>
  <si>
    <t>Regulação de Polinização - Selvagem</t>
  </si>
  <si>
    <t>Regulação de Erosão do Solo - Perda de Nutrientes</t>
  </si>
  <si>
    <t>Regulação de Erosão do Solo - Turbidez do corpo d´água</t>
  </si>
  <si>
    <t>Regulação da assimilação de efluentes</t>
  </si>
  <si>
    <t>Serviço Ecossistêmico Cultural de Recreação e Turismo</t>
  </si>
  <si>
    <t>LEGENDAS DE CORES DAS CÉLULAS</t>
  </si>
  <si>
    <t>M</t>
  </si>
  <si>
    <t>J</t>
  </si>
  <si>
    <t>APOIO PROVISÃO DE BIOMASSA COMBUSTÍVEL</t>
  </si>
  <si>
    <t>Etanol</t>
  </si>
  <si>
    <t xml:space="preserve">Alternativa energética não listada anteriormente: </t>
  </si>
  <si>
    <t>Regime de lançamento com vazão máxima de até 1,5 vezes a vazão média do período de atividade diária do agente poluidor, exceto nos casos permitidos pela autoridade competente</t>
  </si>
  <si>
    <t>Pêssego</t>
  </si>
  <si>
    <t>Abóbora</t>
  </si>
  <si>
    <t>Brócolis</t>
  </si>
  <si>
    <t>Chá verde</t>
  </si>
  <si>
    <t>herbácea</t>
  </si>
  <si>
    <t>Várzea Herbácea</t>
  </si>
  <si>
    <t>Predominam árvores &gt; 5m, com dossel (copas das árvores se tocando) em 30% a 60% da área, regeneração natural visível em estratos inferiores ao dossel, com sinais significativos de corte ou outros distúrbios, como grande presença de cipós na área. Áreas classificadas como secundárias de desenvolvimento intermediário</t>
  </si>
  <si>
    <t>Predominam árvores &gt; 10m, com dossel (copas das árvores se tocando) em  menos 60% da área, regeneração natural visível em estratos inferiores ao dossel, sem sinais significativos de corte ou outros distúrbios na área. Áreas classificadas como primárias ou secundárias tardias</t>
  </si>
  <si>
    <t>Áreas onde predominam árvores e arbustos &lt; 5m, com pouca diversidade de áreas classificadas como em estágio inicial de regeneração.</t>
  </si>
  <si>
    <t>Área frequentemente alagada com cobertura de vegetação arbustiva/arbórea &gt; 20%</t>
  </si>
  <si>
    <t>Área frequentemente alagada com cobertura de vegetação arbustiva/arbórea &lt; 20%</t>
  </si>
  <si>
    <t>Inclui campos naturais em área de solo pedregoso, bem como remanescentes de vegetação herbácea na margem de estradas</t>
  </si>
  <si>
    <t>Pomares, sistemas agroflorestais, culturas lenhosas perenes como cítricos, eucalipto, café, etc.</t>
  </si>
  <si>
    <t>Culturas perenes herbáceas e lenhosas de porte reduzido, como amora, rosas,  framboesas, etc.</t>
  </si>
  <si>
    <t>Veja conversor de unidades</t>
  </si>
  <si>
    <t xml:space="preserve">Esta aba apresenta o resumo dos resultados para os três diferentes aspectos de cada um dos serviços ecossistêmicos. Note que os resultados trazidos são os calculados e não aqueles registrados nas Tabelas Compilação de Resultados. A primeira tabela traz os resultados de serviços ecossistêmicos de provisão, a segunda tabela traz os serviços ecossistêmicos de regulação e a terceira traz o serviços ecossistêmico cultural. Para retornar às abas de cálculos, clique na célula correspondente ao serviço ecossistêmico. </t>
  </si>
  <si>
    <t>ORIENTAÇÕES DE PREENCHIMENTO</t>
  </si>
  <si>
    <t xml:space="preserve">(A) Esta ferrmenta auxilia a implementação dos métodos descritos na DEVESE 2.0 e, portanto, deve ser aplicada em conjunto com as diretrizes, que explicam as bases teóricas dos métodos propostos, além de prover maiores informações sobre o significado das variáveis dos cálculos e recomendações para o levantamento de dados, etapa determinante para a precisão e confiabilidade dos resultados. </t>
  </si>
  <si>
    <r>
      <t xml:space="preserve">(C) Preencha apenas as células </t>
    </r>
    <r>
      <rPr>
        <b/>
        <sz val="11"/>
        <color theme="0" tint="-0.499984740745262"/>
        <rFont val="Myriad Pro"/>
        <family val="2"/>
      </rPr>
      <t/>
    </r>
  </si>
  <si>
    <t xml:space="preserve">(D) As variáveis necessárias ao cálculo de apenas um dos aspectos (dependência, impacto e externalidade) são sinalizadas. Caso aquele aspecto não seja objeto de estudo, tais variáveis não precisam ser preenchidas. As demais variáveis, que não estão sob nenhum aspecto, são necessárias para o cálculo de mais de um aspecto. </t>
  </si>
  <si>
    <t xml:space="preserve">(E) Um arquivo diferente da Ferramenta de Cálculo deve ser preenchido para cada objeto de estudo, conforme Plano de Trabalho (por exemplo uma unidade industrial e um fornecedor). Cada arquivo pode ser salvo com o nome do objeto de estudo. </t>
  </si>
  <si>
    <t xml:space="preserve">(F)  As planilhas de cálculo devem ser rodadas para cada um dos diferentes cenários ou parâmetros. Sugerimos que após o cálculo de cada cenário e/ou parâmetro, os resultados sejam preenchidos nas tabelas de compilação de dados ao final da planilha (células inicialmente agrupadas) e os valores nas células cinza referentes sejam apagados. </t>
  </si>
  <si>
    <t>(H) Orientações específicas estão disponíveis nas respectivas abas e, eventualmente, nas células de observação nos quadros de Dados de Entrada.</t>
  </si>
  <si>
    <t xml:space="preserve">Dúvidas que não sejam sanadas pela DEVESE 2.0, bem como sugestões relativas aos métodos ou a ferramenta, podem ser direcionadas à equipe da TeSE, pelo e-mail: </t>
  </si>
  <si>
    <t xml:space="preserve">Observações: </t>
  </si>
  <si>
    <t xml:space="preserve">Estão disponíveis duas abordagens de quantificação e valoração para o serviço ecossistêmico de regulação da erosão do solo: 
1) Perda de nutrientes; 2) Turbidez no corpo d'água. Abra o grupo de células para preenchimento de cada um deles. </t>
  </si>
  <si>
    <t>COMPILAÇÃO DOS RESULTADOS</t>
  </si>
  <si>
    <t>Área de interesse</t>
  </si>
  <si>
    <t>COMPILAÇÃO DE RESULTADOS</t>
  </si>
  <si>
    <t xml:space="preserve">Os cálculos devem ser feitos para cada biomassa em separado. Após preencher a tabela na seção COMPILAÇÃO DE RESULTADOS com os resultados de uma determinada biomassa, apague todas as células cinzas do quadro DADOS DE ENTRADA e preencha novamente para a próxima biomassa a ser analisada. </t>
  </si>
  <si>
    <t xml:space="preserve">Uma vez feito o cálculo, anote os resultados na seção COMPILAÇÃO DE RESULTADOS abaixo. 
Para fazer novos cálculos é necessário apagar os dados preenchidos anteriormente. </t>
  </si>
  <si>
    <t>Os cálculos devem ser feitos para cada parâmetro de qualidade da água em separado. Após preencher a tabela na seção COMPILAÇÃO DE RESULTADOS para um determinado parâmetro, apague todas as células cinzas do quadro DADOS DE ENTRADA e preencha novamente para o próximo parâmetro a ser analisado. Note que os preços de logística e tratamento podem ou não englobar o tratamento de mais de um parâmetro.</t>
  </si>
  <si>
    <t>Os cálculos devem ser feitos para cada parâmetro de qualidade da água em separado. Após preencher a tabela na seção COMPILAÇÃO DE RESULTADOS 
para um determinado parâmetro, apague todas as células cinzas do quadro DADOS DE ENTRADA e preencha novamente para o próximo parâmetro a ser analisado. Note que os preços de logística e tratamento podem ou não englobar o tratamento de mais de um parâmetro.</t>
  </si>
  <si>
    <t>Óleo Diesel (comercial)</t>
  </si>
  <si>
    <t>Gasolina Automotiva (comercial)</t>
  </si>
  <si>
    <t>OUTROS SERVIÇOS ECOSSISTÊMICOS DE PROVISÃO</t>
  </si>
  <si>
    <t>preencher R$/unid.</t>
  </si>
  <si>
    <t>preencher unid./periodo</t>
  </si>
  <si>
    <t xml:space="preserve">DQd </t>
  </si>
  <si>
    <t>Iqi</t>
  </si>
  <si>
    <t>Ebei1</t>
  </si>
  <si>
    <t>Valor (MCR)</t>
  </si>
  <si>
    <t>Ebei2</t>
  </si>
  <si>
    <t>Valor (MPM)</t>
  </si>
  <si>
    <t>MCR (R$)</t>
  </si>
  <si>
    <r>
      <t xml:space="preserve">(B) O primeiro passo para a utilização da </t>
    </r>
    <r>
      <rPr>
        <b/>
        <sz val="11"/>
        <color theme="1"/>
        <rFont val="Calibri Light"/>
        <family val="2"/>
      </rPr>
      <t>Ferramenta de Cálculo da DEVESE 2.0</t>
    </r>
    <r>
      <rPr>
        <sz val="11"/>
        <color theme="1"/>
        <rFont val="Calibri Light"/>
        <family val="2"/>
      </rPr>
      <t xml:space="preserve"> é o preenchimento da aba Plano de Trabalho, que sintetiza o estudo e orienta a definição do escopo, conforme o item 2 da DEVESE 2.0 - Planejamento do Estudo.</t>
    </r>
    <r>
      <rPr>
        <sz val="11"/>
        <rFont val="Calibri Light"/>
        <family val="2"/>
      </rPr>
      <t xml:space="preserve"> </t>
    </r>
  </si>
  <si>
    <r>
      <rPr>
        <b/>
        <sz val="11"/>
        <rFont val="Calibri Light"/>
        <family val="2"/>
      </rPr>
      <t>Q</t>
    </r>
    <r>
      <rPr>
        <b/>
        <vertAlign val="subscript"/>
        <sz val="11"/>
        <rFont val="Calibri Light"/>
        <family val="2"/>
      </rPr>
      <t>au</t>
    </r>
    <r>
      <rPr>
        <sz val="11"/>
        <rFont val="Calibri Light"/>
        <family val="2"/>
      </rPr>
      <t xml:space="preserve"> = quantidade de água utilizada atualmente</t>
    </r>
  </si>
  <si>
    <r>
      <t>m</t>
    </r>
    <r>
      <rPr>
        <vertAlign val="superscript"/>
        <sz val="11"/>
        <rFont val="Calibri Light"/>
        <family val="2"/>
      </rPr>
      <t>3</t>
    </r>
  </si>
  <si>
    <r>
      <rPr>
        <b/>
        <sz val="11"/>
        <color theme="1"/>
        <rFont val="Calibri Light"/>
        <family val="2"/>
      </rPr>
      <t>Q</t>
    </r>
    <r>
      <rPr>
        <b/>
        <vertAlign val="subscript"/>
        <sz val="11"/>
        <color theme="1"/>
        <rFont val="Calibri Light"/>
        <family val="2"/>
      </rPr>
      <t>ai</t>
    </r>
    <r>
      <rPr>
        <b/>
        <sz val="11"/>
        <color theme="1"/>
        <rFont val="Calibri Light"/>
        <family val="2"/>
      </rPr>
      <t xml:space="preserve"> </t>
    </r>
    <r>
      <rPr>
        <sz val="11"/>
        <color theme="1"/>
        <rFont val="Calibri Light"/>
        <family val="2"/>
      </rPr>
      <t>= quantidade de água demandada, mas indisponível no momento</t>
    </r>
  </si>
  <si>
    <r>
      <rPr>
        <b/>
        <sz val="11"/>
        <color theme="1"/>
        <rFont val="Calibri Light"/>
        <family val="2"/>
      </rPr>
      <t>Q</t>
    </r>
    <r>
      <rPr>
        <b/>
        <vertAlign val="subscript"/>
        <sz val="11"/>
        <color theme="1"/>
        <rFont val="Calibri Light"/>
        <family val="2"/>
      </rPr>
      <t>ad</t>
    </r>
    <r>
      <rPr>
        <sz val="11"/>
        <color theme="1"/>
        <rFont val="Calibri Light"/>
        <family val="2"/>
      </rPr>
      <t xml:space="preserve"> = quantidade de água demandada</t>
    </r>
  </si>
  <si>
    <r>
      <rPr>
        <b/>
        <sz val="11"/>
        <color theme="1"/>
        <rFont val="Calibri Light"/>
        <family val="2"/>
      </rPr>
      <t>Q</t>
    </r>
    <r>
      <rPr>
        <b/>
        <vertAlign val="subscript"/>
        <sz val="11"/>
        <color theme="1"/>
        <rFont val="Calibri Light"/>
        <family val="2"/>
      </rPr>
      <t>pmax</t>
    </r>
    <r>
      <rPr>
        <b/>
        <sz val="11"/>
        <color theme="1"/>
        <rFont val="Calibri Light"/>
        <family val="2"/>
      </rPr>
      <t xml:space="preserve"> </t>
    </r>
    <r>
      <rPr>
        <sz val="11"/>
        <color theme="1"/>
        <rFont val="Calibri Light"/>
        <family val="2"/>
      </rPr>
      <t>= quantidade máxima produzida</t>
    </r>
  </si>
  <si>
    <r>
      <rPr>
        <b/>
        <sz val="11"/>
        <rFont val="Calibri Light"/>
        <family val="2"/>
      </rPr>
      <t>Qa</t>
    </r>
    <r>
      <rPr>
        <b/>
        <vertAlign val="subscript"/>
        <sz val="11"/>
        <rFont val="Calibri Light"/>
        <family val="2"/>
      </rPr>
      <t>cap</t>
    </r>
    <r>
      <rPr>
        <b/>
        <sz val="11"/>
        <rFont val="Calibri Light"/>
        <family val="2"/>
      </rPr>
      <t xml:space="preserve"> </t>
    </r>
    <r>
      <rPr>
        <sz val="11"/>
        <rFont val="Calibri Light"/>
        <family val="2"/>
      </rPr>
      <t>= quantidade de água captada</t>
    </r>
  </si>
  <si>
    <r>
      <rPr>
        <b/>
        <sz val="11"/>
        <rFont val="Calibri Light"/>
        <family val="2"/>
      </rPr>
      <t>Q</t>
    </r>
    <r>
      <rPr>
        <b/>
        <vertAlign val="subscript"/>
        <sz val="11"/>
        <rFont val="Calibri Light"/>
        <family val="2"/>
      </rPr>
      <t>adev</t>
    </r>
    <r>
      <rPr>
        <b/>
        <sz val="11"/>
        <rFont val="Calibri Light"/>
        <family val="2"/>
      </rPr>
      <t xml:space="preserve"> </t>
    </r>
    <r>
      <rPr>
        <sz val="11"/>
        <rFont val="Calibri Light"/>
        <family val="2"/>
      </rPr>
      <t>= quantidade de água devolvida para o mesmo corpo d’água de onde foi captada</t>
    </r>
  </si>
  <si>
    <r>
      <rPr>
        <b/>
        <sz val="11"/>
        <color theme="1"/>
        <rFont val="Calibri Light"/>
        <family val="2"/>
      </rPr>
      <t>$pa</t>
    </r>
    <r>
      <rPr>
        <b/>
        <vertAlign val="subscript"/>
        <sz val="11"/>
        <color theme="1"/>
        <rFont val="Calibri Light"/>
        <family val="2"/>
      </rPr>
      <t>imp</t>
    </r>
    <r>
      <rPr>
        <sz val="11"/>
        <color theme="1"/>
        <rFont val="Calibri Light"/>
        <family val="2"/>
      </rPr>
      <t xml:space="preserve"> = preço da água importada (trazida de outra bacia hidrográfica)</t>
    </r>
  </si>
  <si>
    <r>
      <t>R$/m</t>
    </r>
    <r>
      <rPr>
        <vertAlign val="superscript"/>
        <sz val="11"/>
        <rFont val="Calibri Light"/>
        <family val="2"/>
      </rPr>
      <t>3</t>
    </r>
  </si>
  <si>
    <r>
      <rPr>
        <b/>
        <sz val="11"/>
        <color theme="1"/>
        <rFont val="Calibri Light"/>
        <family val="2"/>
      </rPr>
      <t>$log</t>
    </r>
    <r>
      <rPr>
        <b/>
        <vertAlign val="subscript"/>
        <sz val="11"/>
        <color theme="1"/>
        <rFont val="Calibri Light"/>
        <family val="2"/>
      </rPr>
      <t>ia</t>
    </r>
    <r>
      <rPr>
        <b/>
        <sz val="11"/>
        <color theme="1"/>
        <rFont val="Calibri Light"/>
        <family val="2"/>
      </rPr>
      <t xml:space="preserve"> =</t>
    </r>
    <r>
      <rPr>
        <sz val="11"/>
        <color theme="1"/>
        <rFont val="Calibri Light"/>
        <family val="2"/>
      </rPr>
      <t xml:space="preserve"> custos de logística com a importação da água</t>
    </r>
  </si>
  <si>
    <r>
      <rPr>
        <b/>
        <i/>
        <sz val="11"/>
        <color theme="1"/>
        <rFont val="Calibri Light"/>
        <family val="2"/>
      </rPr>
      <t>Qp</t>
    </r>
    <r>
      <rPr>
        <b/>
        <i/>
        <vertAlign val="subscript"/>
        <sz val="11"/>
        <color theme="1"/>
        <rFont val="Calibri Light"/>
        <family val="2"/>
      </rPr>
      <t>max</t>
    </r>
    <r>
      <rPr>
        <b/>
        <i/>
        <sz val="11"/>
        <color theme="1"/>
        <rFont val="Calibri Light"/>
        <family val="2"/>
      </rPr>
      <t xml:space="preserve"> </t>
    </r>
    <r>
      <rPr>
        <sz val="11"/>
        <color theme="1"/>
        <rFont val="Calibri Light"/>
        <family val="2"/>
      </rPr>
      <t>= quantidade máxima de produtos produzidos</t>
    </r>
  </si>
  <si>
    <r>
      <rPr>
        <b/>
        <i/>
        <sz val="11"/>
        <rFont val="Calibri Light"/>
        <family val="2"/>
      </rPr>
      <t>Qu</t>
    </r>
    <r>
      <rPr>
        <sz val="11"/>
        <rFont val="Calibri Light"/>
        <family val="2"/>
      </rPr>
      <t xml:space="preserve">= quantidade do BEI  utilizada atualmente </t>
    </r>
  </si>
  <si>
    <r>
      <rPr>
        <b/>
        <i/>
        <sz val="11"/>
        <rFont val="Calibri Light"/>
        <family val="2"/>
      </rPr>
      <t>Qi</t>
    </r>
    <r>
      <rPr>
        <b/>
        <sz val="11"/>
        <rFont val="Calibri Light"/>
        <family val="2"/>
      </rPr>
      <t xml:space="preserve"> = </t>
    </r>
    <r>
      <rPr>
        <sz val="11"/>
        <rFont val="Calibri Light"/>
        <family val="2"/>
      </rPr>
      <t>quantidade do BEI demandada mas indisponível atualmente</t>
    </r>
  </si>
  <si>
    <r>
      <rPr>
        <b/>
        <i/>
        <sz val="11"/>
        <color theme="1"/>
        <rFont val="Calibri Light"/>
        <family val="2"/>
      </rPr>
      <t>Qd</t>
    </r>
    <r>
      <rPr>
        <sz val="11"/>
        <color theme="1"/>
        <rFont val="Calibri Light"/>
        <family val="2"/>
      </rPr>
      <t xml:space="preserve"> = quantidade do BEI demandada</t>
    </r>
  </si>
  <si>
    <r>
      <rPr>
        <b/>
        <i/>
        <sz val="11"/>
        <color theme="1"/>
        <rFont val="Calibri Light"/>
        <family val="2"/>
      </rPr>
      <t>$vp</t>
    </r>
    <r>
      <rPr>
        <b/>
        <sz val="11"/>
        <color theme="1"/>
        <rFont val="Calibri Light"/>
        <family val="2"/>
      </rPr>
      <t xml:space="preserve"> </t>
    </r>
    <r>
      <rPr>
        <sz val="11"/>
        <color theme="1"/>
        <rFont val="Calibri Light"/>
        <family val="2"/>
      </rPr>
      <t>= Preço de venda da produção sacrificada em função da falta do BEI</t>
    </r>
  </si>
  <si>
    <r>
      <rPr>
        <b/>
        <i/>
        <sz val="11"/>
        <color theme="1"/>
        <rFont val="Calibri Light"/>
        <family val="2"/>
      </rPr>
      <t>Pm</t>
    </r>
    <r>
      <rPr>
        <b/>
        <i/>
        <vertAlign val="subscript"/>
        <sz val="11"/>
        <color theme="1"/>
        <rFont val="Calibri Light"/>
        <family val="2"/>
      </rPr>
      <t>alt</t>
    </r>
    <r>
      <rPr>
        <b/>
        <sz val="11"/>
        <color theme="1"/>
        <rFont val="Calibri Light"/>
        <family val="2"/>
      </rPr>
      <t xml:space="preserve"> </t>
    </r>
    <r>
      <rPr>
        <sz val="11"/>
        <color theme="1"/>
        <rFont val="Calibri Light"/>
        <family val="2"/>
      </rPr>
      <t>= preço de mercado da alternativa energética mais custo-eficaz</t>
    </r>
  </si>
  <si>
    <r>
      <rPr>
        <b/>
        <i/>
        <sz val="11"/>
        <color theme="1"/>
        <rFont val="Calibri Light"/>
        <family val="2"/>
      </rPr>
      <t xml:space="preserve">Qe </t>
    </r>
    <r>
      <rPr>
        <i/>
        <sz val="11"/>
        <color theme="1"/>
        <rFont val="Calibri Light"/>
        <family val="2"/>
      </rPr>
      <t xml:space="preserve">= </t>
    </r>
    <r>
      <rPr>
        <sz val="11"/>
        <color theme="1"/>
        <rFont val="Calibri Light"/>
        <family val="2"/>
      </rPr>
      <t>Quantidade do BEI explorada pela empresa (retirada da natureza);</t>
    </r>
  </si>
  <si>
    <r>
      <t>R$/m</t>
    </r>
    <r>
      <rPr>
        <vertAlign val="superscript"/>
        <sz val="11"/>
        <color theme="1"/>
        <rFont val="Calibri Light"/>
        <family val="2"/>
      </rPr>
      <t>3</t>
    </r>
  </si>
  <si>
    <r>
      <t>tCO</t>
    </r>
    <r>
      <rPr>
        <vertAlign val="subscript"/>
        <sz val="11"/>
        <color theme="0"/>
        <rFont val="Calibri Light"/>
        <family val="2"/>
      </rPr>
      <t>2</t>
    </r>
    <r>
      <rPr>
        <sz val="11"/>
        <color theme="0"/>
        <rFont val="Calibri Light"/>
        <family val="2"/>
      </rPr>
      <t>e</t>
    </r>
  </si>
  <si>
    <r>
      <t>Fator de Equivalência de Poder Calorífico (Fe</t>
    </r>
    <r>
      <rPr>
        <vertAlign val="subscript"/>
        <sz val="11"/>
        <color theme="0"/>
        <rFont val="Calibri Light"/>
        <family val="2"/>
      </rPr>
      <t xml:space="preserve">pc </t>
    </r>
    <r>
      <rPr>
        <sz val="11"/>
        <color theme="0"/>
        <rFont val="Calibri Light"/>
        <family val="2"/>
      </rPr>
      <t>= Pc</t>
    </r>
    <r>
      <rPr>
        <vertAlign val="subscript"/>
        <sz val="11"/>
        <color theme="0"/>
        <rFont val="Calibri Light"/>
        <family val="2"/>
      </rPr>
      <t>b</t>
    </r>
    <r>
      <rPr>
        <sz val="11"/>
        <color theme="0"/>
        <rFont val="Calibri Light"/>
        <family val="2"/>
      </rPr>
      <t xml:space="preserve"> /Pc</t>
    </r>
    <r>
      <rPr>
        <vertAlign val="subscript"/>
        <sz val="11"/>
        <color theme="0"/>
        <rFont val="Calibri Light"/>
        <family val="2"/>
      </rPr>
      <t>alt )</t>
    </r>
  </si>
  <si>
    <r>
      <t>kgCO</t>
    </r>
    <r>
      <rPr>
        <vertAlign val="subscript"/>
        <sz val="11"/>
        <color theme="1"/>
        <rFont val="Calibri Light"/>
        <family val="2"/>
      </rPr>
      <t>2</t>
    </r>
    <r>
      <rPr>
        <sz val="11"/>
        <color theme="1"/>
        <rFont val="Calibri Light"/>
        <family val="2"/>
      </rPr>
      <t>eq/unidade</t>
    </r>
  </si>
  <si>
    <r>
      <rPr>
        <b/>
        <sz val="11"/>
        <rFont val="Calibri Light"/>
        <family val="2"/>
      </rPr>
      <t>Pc</t>
    </r>
    <r>
      <rPr>
        <b/>
        <vertAlign val="subscript"/>
        <sz val="11"/>
        <rFont val="Calibri Light"/>
        <family val="2"/>
      </rPr>
      <t>b</t>
    </r>
    <r>
      <rPr>
        <b/>
        <sz val="11"/>
        <rFont val="Calibri Light"/>
        <family val="2"/>
      </rPr>
      <t xml:space="preserve"> </t>
    </r>
    <r>
      <rPr>
        <sz val="11"/>
        <rFont val="Calibri Light"/>
        <family val="2"/>
      </rPr>
      <t>= potencial calorífico da biomassa</t>
    </r>
  </si>
  <si>
    <r>
      <rPr>
        <b/>
        <i/>
        <sz val="11"/>
        <rFont val="Calibri Light"/>
        <family val="2"/>
      </rPr>
      <t>Qb</t>
    </r>
    <r>
      <rPr>
        <b/>
        <i/>
        <vertAlign val="subscript"/>
        <sz val="11"/>
        <rFont val="Calibri Light"/>
        <family val="2"/>
      </rPr>
      <t>u</t>
    </r>
    <r>
      <rPr>
        <sz val="11"/>
        <rFont val="Calibri Light"/>
        <family val="2"/>
      </rPr>
      <t xml:space="preserve"> = quantidade de biomassa utilizada atualmente </t>
    </r>
  </si>
  <si>
    <r>
      <t>Qb</t>
    </r>
    <r>
      <rPr>
        <b/>
        <vertAlign val="subscript"/>
        <sz val="11"/>
        <rFont val="Calibri Light"/>
        <family val="2"/>
      </rPr>
      <t>r</t>
    </r>
    <r>
      <rPr>
        <b/>
        <sz val="11"/>
        <rFont val="Calibri Light"/>
        <family val="2"/>
      </rPr>
      <t xml:space="preserve">= </t>
    </r>
    <r>
      <rPr>
        <sz val="11"/>
        <rFont val="Calibri Light"/>
        <family val="2"/>
      </rPr>
      <t xml:space="preserve">quantidade de biomassa a ser reposta devido à indisponibilidade no período </t>
    </r>
    <r>
      <rPr>
        <vertAlign val="subscript"/>
        <sz val="11"/>
        <rFont val="Calibri Light"/>
        <family val="2"/>
      </rPr>
      <t xml:space="preserve"> </t>
    </r>
  </si>
  <si>
    <r>
      <rPr>
        <b/>
        <i/>
        <sz val="11"/>
        <color theme="1"/>
        <rFont val="Calibri Light"/>
        <family val="2"/>
      </rPr>
      <t>Qb</t>
    </r>
    <r>
      <rPr>
        <sz val="11"/>
        <color theme="1"/>
        <rFont val="Calibri Light"/>
        <family val="2"/>
      </rPr>
      <t xml:space="preserve"> = quantidade de biomassa necessária para as atividades da empresa </t>
    </r>
  </si>
  <si>
    <r>
      <rPr>
        <b/>
        <i/>
        <sz val="11"/>
        <color theme="1"/>
        <rFont val="Calibri Light"/>
        <family val="2"/>
      </rPr>
      <t>Pm</t>
    </r>
    <r>
      <rPr>
        <b/>
        <i/>
        <vertAlign val="subscript"/>
        <sz val="11"/>
        <color theme="1"/>
        <rFont val="Calibri Light"/>
        <family val="2"/>
      </rPr>
      <t>b</t>
    </r>
    <r>
      <rPr>
        <b/>
        <vertAlign val="subscript"/>
        <sz val="11"/>
        <color theme="1"/>
        <rFont val="Calibri Light"/>
        <family val="2"/>
      </rPr>
      <t xml:space="preserve"> </t>
    </r>
    <r>
      <rPr>
        <sz val="11"/>
        <color theme="1"/>
        <rFont val="Calibri Light"/>
        <family val="2"/>
      </rPr>
      <t>= preço de mercado da biomassa combustível utilizada atualmente</t>
    </r>
  </si>
  <si>
    <r>
      <rPr>
        <b/>
        <i/>
        <sz val="11"/>
        <color theme="1"/>
        <rFont val="Calibri Light"/>
        <family val="2"/>
      </rPr>
      <t xml:space="preserve">Qtc </t>
    </r>
    <r>
      <rPr>
        <sz val="11"/>
        <color theme="1"/>
        <rFont val="Calibri Light"/>
        <family val="2"/>
      </rPr>
      <t>= quantidade total de combustíveis necessária para as atividades da empresa</t>
    </r>
  </si>
  <si>
    <r>
      <rPr>
        <b/>
        <sz val="11"/>
        <rFont val="Calibri Light"/>
        <family val="2"/>
      </rPr>
      <t>Pc</t>
    </r>
    <r>
      <rPr>
        <b/>
        <vertAlign val="subscript"/>
        <sz val="11"/>
        <rFont val="Calibri Light"/>
        <family val="2"/>
      </rPr>
      <t>alt</t>
    </r>
    <r>
      <rPr>
        <sz val="11"/>
        <rFont val="Calibri Light"/>
        <family val="2"/>
      </rPr>
      <t xml:space="preserve"> = potencial calorífico da alternativa energética</t>
    </r>
  </si>
  <si>
    <r>
      <rPr>
        <b/>
        <i/>
        <sz val="11"/>
        <color theme="1"/>
        <rFont val="Calibri Light"/>
        <family val="2"/>
      </rPr>
      <t>Qe</t>
    </r>
    <r>
      <rPr>
        <b/>
        <i/>
        <vertAlign val="subscript"/>
        <sz val="11"/>
        <color theme="1"/>
        <rFont val="Calibri Light"/>
        <family val="2"/>
      </rPr>
      <t>alt</t>
    </r>
    <r>
      <rPr>
        <b/>
        <sz val="11"/>
        <color theme="1"/>
        <rFont val="Calibri Light"/>
        <family val="2"/>
      </rPr>
      <t xml:space="preserve"> </t>
    </r>
    <r>
      <rPr>
        <sz val="11"/>
        <color theme="1"/>
        <rFont val="Calibri Light"/>
        <family val="2"/>
      </rPr>
      <t>= quantidade da alternativa energética mais custo-eficaz</t>
    </r>
  </si>
  <si>
    <r>
      <rPr>
        <b/>
        <i/>
        <sz val="11"/>
        <color theme="1"/>
        <rFont val="Calibri Light"/>
        <family val="2"/>
      </rPr>
      <t>Pae</t>
    </r>
    <r>
      <rPr>
        <b/>
        <i/>
        <vertAlign val="subscript"/>
        <sz val="11"/>
        <color theme="1"/>
        <rFont val="Calibri Light"/>
        <family val="2"/>
      </rPr>
      <t>r</t>
    </r>
    <r>
      <rPr>
        <b/>
        <sz val="11"/>
        <color theme="1"/>
        <rFont val="Calibri Light"/>
        <family val="2"/>
      </rPr>
      <t xml:space="preserve"> </t>
    </r>
    <r>
      <rPr>
        <sz val="11"/>
        <color theme="1"/>
        <rFont val="Calibri Light"/>
        <family val="2"/>
      </rPr>
      <t>= produtividade média anual da atividade econômica removida</t>
    </r>
  </si>
  <si>
    <r>
      <rPr>
        <b/>
        <i/>
        <sz val="11"/>
        <rFont val="Calibri Light"/>
        <family val="2"/>
      </rPr>
      <t xml:space="preserve">A </t>
    </r>
    <r>
      <rPr>
        <sz val="11"/>
        <rFont val="Calibri Light"/>
        <family val="2"/>
      </rPr>
      <t>= Área da atividade econômica removida para a produção de biomassa</t>
    </r>
  </si>
  <si>
    <r>
      <rPr>
        <b/>
        <i/>
        <sz val="11"/>
        <color rgb="FF000000"/>
        <rFont val="Calibri Light"/>
        <family val="2"/>
      </rPr>
      <t>Pmae</t>
    </r>
    <r>
      <rPr>
        <b/>
        <i/>
        <vertAlign val="subscript"/>
        <sz val="11"/>
        <color rgb="FF000000"/>
        <rFont val="Calibri Light"/>
        <family val="2"/>
      </rPr>
      <t>r</t>
    </r>
    <r>
      <rPr>
        <sz val="11"/>
        <color rgb="FF000000"/>
        <rFont val="Calibri Light"/>
        <family val="2"/>
      </rPr>
      <t xml:space="preserve"> = preço de mercado do produto ou serviço da atividade econômica removida pela expansão da produção de biomassa combustível</t>
    </r>
  </si>
  <si>
    <r>
      <rPr>
        <b/>
        <i/>
        <sz val="11"/>
        <rFont val="Calibri Light"/>
        <family val="2"/>
      </rPr>
      <t>Qalt</t>
    </r>
    <r>
      <rPr>
        <b/>
        <i/>
        <vertAlign val="subscript"/>
        <sz val="11"/>
        <rFont val="Calibri Light"/>
        <family val="2"/>
      </rPr>
      <t>f</t>
    </r>
    <r>
      <rPr>
        <b/>
        <sz val="11"/>
        <rFont val="Calibri Light"/>
        <family val="2"/>
      </rPr>
      <t xml:space="preserve"> </t>
    </r>
    <r>
      <rPr>
        <sz val="11"/>
        <rFont val="Calibri Light"/>
        <family val="2"/>
      </rPr>
      <t>= quantidade da alternativa energética fóssil que seria necessária para substituir a biomassa utilizada pela empresa</t>
    </r>
  </si>
  <si>
    <r>
      <rPr>
        <b/>
        <i/>
        <sz val="11"/>
        <color theme="1"/>
        <rFont val="Calibri Light"/>
        <family val="2"/>
      </rPr>
      <t>CSC</t>
    </r>
    <r>
      <rPr>
        <sz val="11"/>
        <color theme="1"/>
        <rFont val="Calibri Light"/>
        <family val="2"/>
      </rPr>
      <t xml:space="preserve"> = custo social do carbono</t>
    </r>
  </si>
  <si>
    <r>
      <t>R$/tCO</t>
    </r>
    <r>
      <rPr>
        <vertAlign val="subscript"/>
        <sz val="11"/>
        <rFont val="Calibri Light"/>
        <family val="2"/>
      </rPr>
      <t>2</t>
    </r>
    <r>
      <rPr>
        <sz val="11"/>
        <rFont val="Calibri Light"/>
        <family val="2"/>
      </rPr>
      <t>e</t>
    </r>
  </si>
  <si>
    <r>
      <t>EBc</t>
    </r>
    <r>
      <rPr>
        <b/>
        <vertAlign val="subscript"/>
        <sz val="12"/>
        <color rgb="FF000000"/>
        <rFont val="Calibri Light"/>
        <family val="2"/>
      </rPr>
      <t>mut</t>
    </r>
    <r>
      <rPr>
        <b/>
        <sz val="12"/>
        <color theme="1"/>
        <rFont val="Calibri Light"/>
        <family val="2"/>
      </rPr>
      <t xml:space="preserve"> </t>
    </r>
  </si>
  <si>
    <r>
      <t>EBc</t>
    </r>
    <r>
      <rPr>
        <b/>
        <vertAlign val="subscript"/>
        <sz val="12"/>
        <color theme="1"/>
        <rFont val="Calibri Light"/>
        <family val="2"/>
      </rPr>
      <t>af</t>
    </r>
    <r>
      <rPr>
        <b/>
        <sz val="12"/>
        <color theme="1"/>
        <rFont val="Calibri Light"/>
        <family val="2"/>
      </rPr>
      <t xml:space="preserve"> </t>
    </r>
  </si>
  <si>
    <r>
      <t>tCO</t>
    </r>
    <r>
      <rPr>
        <b/>
        <vertAlign val="subscript"/>
        <sz val="12"/>
        <rFont val="Calibri Light"/>
        <family val="2"/>
      </rPr>
      <t>2</t>
    </r>
    <r>
      <rPr>
        <b/>
        <sz val="12"/>
        <rFont val="Calibri Light"/>
        <family val="2"/>
      </rPr>
      <t>e</t>
    </r>
  </si>
  <si>
    <r>
      <t>EBc</t>
    </r>
    <r>
      <rPr>
        <b/>
        <vertAlign val="subscript"/>
        <sz val="12"/>
        <color theme="1"/>
        <rFont val="Calibri Light"/>
        <family val="2"/>
      </rPr>
      <t>af</t>
    </r>
    <r>
      <rPr>
        <b/>
        <sz val="12"/>
        <color theme="1"/>
        <rFont val="Calibri Light"/>
        <family val="2"/>
      </rPr>
      <t xml:space="preserve"> (tCO</t>
    </r>
    <r>
      <rPr>
        <b/>
        <vertAlign val="subscript"/>
        <sz val="12"/>
        <color theme="1"/>
        <rFont val="Calibri Light"/>
        <family val="2"/>
      </rPr>
      <t>2</t>
    </r>
    <r>
      <rPr>
        <b/>
        <sz val="12"/>
        <color theme="1"/>
        <rFont val="Calibri Light"/>
        <family val="2"/>
      </rPr>
      <t>e)</t>
    </r>
  </si>
  <si>
    <r>
      <t>Qla</t>
    </r>
    <r>
      <rPr>
        <vertAlign val="subscript"/>
        <sz val="11"/>
        <rFont val="Calibri Light"/>
        <family val="2"/>
      </rPr>
      <t>ideal</t>
    </r>
    <r>
      <rPr>
        <sz val="11"/>
        <rFont val="Calibri Light"/>
        <family val="2"/>
      </rPr>
      <t xml:space="preserve"> = qualidade ideal da água para as operações da empresa, em seu ponto de captação</t>
    </r>
  </si>
  <si>
    <r>
      <t>Qla</t>
    </r>
    <r>
      <rPr>
        <vertAlign val="subscript"/>
        <sz val="11"/>
        <color theme="1"/>
        <rFont val="Calibri Light"/>
        <family val="2"/>
      </rPr>
      <t>min</t>
    </r>
    <r>
      <rPr>
        <sz val="11"/>
        <color theme="1"/>
        <rFont val="Calibri Light"/>
        <family val="2"/>
      </rPr>
      <t xml:space="preserve"> = qualidade mínima da água, em seu ponto de captação, na hipótese de níveis mínimos regulação ecossistêmica da qualidade da água</t>
    </r>
  </si>
  <si>
    <r>
      <t>Qa</t>
    </r>
    <r>
      <rPr>
        <i/>
        <vertAlign val="subscript"/>
        <sz val="11"/>
        <color theme="1"/>
        <rFont val="Calibri Light"/>
        <family val="2"/>
      </rPr>
      <t>cap</t>
    </r>
    <r>
      <rPr>
        <sz val="11"/>
        <color theme="1"/>
        <rFont val="Calibri Light"/>
        <family val="2"/>
      </rPr>
      <t xml:space="preserve"> = quantidade de água captada</t>
    </r>
  </si>
  <si>
    <r>
      <t>$T</t>
    </r>
    <r>
      <rPr>
        <i/>
        <vertAlign val="subscript"/>
        <sz val="11"/>
        <color theme="1"/>
        <rFont val="Calibri Light"/>
        <family val="2"/>
      </rPr>
      <t>a</t>
    </r>
    <r>
      <rPr>
        <sz val="11"/>
        <color theme="1"/>
        <rFont val="Calibri Light"/>
        <family val="2"/>
      </rPr>
      <t xml:space="preserve"> = custo do tratamento da água do nível de qualidade </t>
    </r>
    <r>
      <rPr>
        <i/>
        <sz val="11"/>
        <color theme="1"/>
        <rFont val="Calibri Light"/>
        <family val="2"/>
      </rPr>
      <t>Qla</t>
    </r>
    <r>
      <rPr>
        <i/>
        <vertAlign val="subscript"/>
        <sz val="11"/>
        <color theme="1"/>
        <rFont val="Calibri Light"/>
        <family val="2"/>
      </rPr>
      <t>min</t>
    </r>
    <r>
      <rPr>
        <sz val="11"/>
        <color theme="1"/>
        <rFont val="Calibri Light"/>
        <family val="2"/>
      </rPr>
      <t xml:space="preserve"> para o nível de qualidade </t>
    </r>
    <r>
      <rPr>
        <i/>
        <sz val="11"/>
        <color theme="1"/>
        <rFont val="Calibri Light"/>
        <family val="2"/>
      </rPr>
      <t>Qla</t>
    </r>
    <r>
      <rPr>
        <i/>
        <vertAlign val="subscript"/>
        <sz val="11"/>
        <color theme="1"/>
        <rFont val="Calibri Light"/>
        <family val="2"/>
      </rPr>
      <t>ideal</t>
    </r>
  </si>
  <si>
    <r>
      <t>I</t>
    </r>
    <r>
      <rPr>
        <i/>
        <vertAlign val="subscript"/>
        <sz val="11"/>
        <color theme="1"/>
        <rFont val="Calibri Light"/>
        <family val="2"/>
      </rPr>
      <t>eta</t>
    </r>
    <r>
      <rPr>
        <sz val="11"/>
        <color theme="1"/>
        <rFont val="Calibri Light"/>
        <family val="2"/>
      </rPr>
      <t xml:space="preserve"> = investimento necessário em estação de tratamento da água, em R$.</t>
    </r>
  </si>
  <si>
    <r>
      <t>Qla</t>
    </r>
    <r>
      <rPr>
        <i/>
        <vertAlign val="subscript"/>
        <sz val="11"/>
        <color theme="1"/>
        <rFont val="Calibri Light"/>
        <family val="2"/>
      </rPr>
      <t>cap</t>
    </r>
    <r>
      <rPr>
        <sz val="11"/>
        <color theme="1"/>
        <rFont val="Calibri Light"/>
        <family val="2"/>
      </rPr>
      <t xml:space="preserve"> = qualidade de água captada pela empresa</t>
    </r>
  </si>
  <si>
    <r>
      <t>$T</t>
    </r>
    <r>
      <rPr>
        <i/>
        <vertAlign val="subscript"/>
        <sz val="11"/>
        <color theme="1"/>
        <rFont val="Calibri Light"/>
        <family val="2"/>
      </rPr>
      <t>a</t>
    </r>
    <r>
      <rPr>
        <sz val="11"/>
        <color theme="1"/>
        <rFont val="Calibri Light"/>
        <family val="2"/>
      </rPr>
      <t xml:space="preserve"> = custo do tratamento da água do nível de qualidade</t>
    </r>
    <r>
      <rPr>
        <i/>
        <sz val="11"/>
        <color theme="1"/>
        <rFont val="Calibri Light"/>
        <family val="2"/>
      </rPr>
      <t xml:space="preserve"> Qla</t>
    </r>
    <r>
      <rPr>
        <i/>
        <vertAlign val="subscript"/>
        <sz val="11"/>
        <color theme="1"/>
        <rFont val="Calibri Light"/>
        <family val="2"/>
      </rPr>
      <t>cap</t>
    </r>
    <r>
      <rPr>
        <sz val="11"/>
        <color theme="1"/>
        <rFont val="Calibri Light"/>
        <family val="2"/>
      </rPr>
      <t xml:space="preserve"> para o nível de qualidade </t>
    </r>
    <r>
      <rPr>
        <i/>
        <sz val="11"/>
        <color theme="1"/>
        <rFont val="Calibri Light"/>
        <family val="2"/>
      </rPr>
      <t>Qla</t>
    </r>
    <r>
      <rPr>
        <i/>
        <vertAlign val="subscript"/>
        <sz val="11"/>
        <color theme="1"/>
        <rFont val="Calibri Light"/>
        <family val="2"/>
      </rPr>
      <t>ideal</t>
    </r>
    <r>
      <rPr>
        <sz val="11"/>
        <color theme="1"/>
        <rFont val="Calibri Light"/>
        <family val="2"/>
      </rPr>
      <t>,</t>
    </r>
  </si>
  <si>
    <r>
      <t>Qla</t>
    </r>
    <r>
      <rPr>
        <i/>
        <vertAlign val="subscript"/>
        <sz val="11"/>
        <color theme="1"/>
        <rFont val="Calibri Light"/>
        <family val="2"/>
      </rPr>
      <t>m</t>
    </r>
    <r>
      <rPr>
        <sz val="11"/>
        <color theme="1"/>
        <rFont val="Calibri Light"/>
        <family val="2"/>
      </rPr>
      <t xml:space="preserve"> = qualidade da água à montante das atividades da empresa</t>
    </r>
  </si>
  <si>
    <r>
      <t>Qla</t>
    </r>
    <r>
      <rPr>
        <i/>
        <vertAlign val="subscript"/>
        <sz val="11"/>
        <color theme="1"/>
        <rFont val="Calibri Light"/>
        <family val="2"/>
      </rPr>
      <t>j</t>
    </r>
    <r>
      <rPr>
        <sz val="11"/>
        <color theme="1"/>
        <rFont val="Calibri Light"/>
        <family val="2"/>
      </rPr>
      <t xml:space="preserve"> = qualidade da água a jusante das atividades da empresa</t>
    </r>
  </si>
  <si>
    <r>
      <t>$GP</t>
    </r>
    <r>
      <rPr>
        <i/>
        <vertAlign val="subscript"/>
        <sz val="11"/>
        <color theme="1"/>
        <rFont val="Calibri Light"/>
        <family val="2"/>
      </rPr>
      <t>pd</t>
    </r>
    <r>
      <rPr>
        <sz val="11"/>
        <color theme="1"/>
        <rFont val="Calibri Light"/>
        <family val="2"/>
      </rPr>
      <t xml:space="preserve"> = gastos com ações necessárias para controlar ou eliminar as fontes de poluição difusa oriundas das atividades da empresa ou de áreas sob seu controle</t>
    </r>
  </si>
  <si>
    <r>
      <t>até 3 mg/L O</t>
    </r>
    <r>
      <rPr>
        <vertAlign val="subscript"/>
        <sz val="11"/>
        <color theme="1"/>
        <rFont val="Calibri Light"/>
        <family val="2"/>
      </rPr>
      <t>2</t>
    </r>
  </si>
  <si>
    <r>
      <t>até 5 mg/L O</t>
    </r>
    <r>
      <rPr>
        <vertAlign val="subscript"/>
        <sz val="11"/>
        <color theme="1"/>
        <rFont val="Calibri Light"/>
        <family val="2"/>
      </rPr>
      <t>2</t>
    </r>
  </si>
  <si>
    <r>
      <t>até 10 mg/L O</t>
    </r>
    <r>
      <rPr>
        <vertAlign val="subscript"/>
        <sz val="11"/>
        <color theme="1"/>
        <rFont val="Calibri Light"/>
        <family val="2"/>
      </rPr>
      <t>2</t>
    </r>
  </si>
  <si>
    <r>
      <t>não inferior a 6 mg/L O</t>
    </r>
    <r>
      <rPr>
        <vertAlign val="subscript"/>
        <sz val="11"/>
        <color theme="1"/>
        <rFont val="Calibri Light"/>
        <family val="2"/>
      </rPr>
      <t>2</t>
    </r>
  </si>
  <si>
    <r>
      <t>não inferior a 5 mg/L O</t>
    </r>
    <r>
      <rPr>
        <vertAlign val="subscript"/>
        <sz val="11"/>
        <color theme="1"/>
        <rFont val="Calibri Light"/>
        <family val="2"/>
      </rPr>
      <t>2</t>
    </r>
  </si>
  <si>
    <r>
      <t>não inferior a 4 mg/L O</t>
    </r>
    <r>
      <rPr>
        <vertAlign val="subscript"/>
        <sz val="11"/>
        <color theme="1"/>
        <rFont val="Calibri Light"/>
        <family val="2"/>
      </rPr>
      <t>2</t>
    </r>
  </si>
  <si>
    <r>
      <t>superior a 2,0 mg/L O</t>
    </r>
    <r>
      <rPr>
        <vertAlign val="subscript"/>
        <sz val="11"/>
        <color theme="1"/>
        <rFont val="Calibri Light"/>
        <family val="2"/>
      </rPr>
      <t>2</t>
    </r>
  </si>
  <si>
    <r>
      <t xml:space="preserve">Clorofila </t>
    </r>
    <r>
      <rPr>
        <i/>
        <sz val="11"/>
        <color theme="1"/>
        <rFont val="Calibri Light"/>
        <family val="2"/>
      </rPr>
      <t xml:space="preserve">a </t>
    </r>
  </si>
  <si>
    <r>
      <t>20.000 cel/mL ou 2 mm</t>
    </r>
    <r>
      <rPr>
        <vertAlign val="superscript"/>
        <sz val="11"/>
        <color theme="1"/>
        <rFont val="Calibri Light"/>
        <family val="2"/>
      </rPr>
      <t>3</t>
    </r>
    <r>
      <rPr>
        <sz val="11"/>
        <color theme="1"/>
        <rFont val="Calibri Light"/>
        <family val="2"/>
      </rPr>
      <t>/L</t>
    </r>
  </si>
  <si>
    <r>
      <t>50.000 cel/mL ou 5 mm</t>
    </r>
    <r>
      <rPr>
        <vertAlign val="superscript"/>
        <sz val="11"/>
        <color theme="1"/>
        <rFont val="Calibri Light"/>
        <family val="2"/>
      </rPr>
      <t>3</t>
    </r>
    <r>
      <rPr>
        <sz val="11"/>
        <color theme="1"/>
        <rFont val="Calibri Light"/>
        <family val="2"/>
      </rPr>
      <t>/L</t>
    </r>
  </si>
  <si>
    <r>
      <t>100.000 cel/mL ou 10 mm</t>
    </r>
    <r>
      <rPr>
        <vertAlign val="superscript"/>
        <sz val="11"/>
        <color theme="1"/>
        <rFont val="Calibri Light"/>
        <family val="2"/>
      </rPr>
      <t>3</t>
    </r>
    <r>
      <rPr>
        <sz val="11"/>
        <color theme="1"/>
        <rFont val="Calibri Light"/>
        <family val="2"/>
      </rPr>
      <t>/L
Para dessedentação animal: 50.000 cel/mL ou 5 mm3/L</t>
    </r>
  </si>
  <si>
    <r>
      <t>250 mg/L SO</t>
    </r>
    <r>
      <rPr>
        <vertAlign val="subscript"/>
        <sz val="11"/>
        <color theme="1"/>
        <rFont val="Calibri Light"/>
        <family val="2"/>
      </rPr>
      <t>4</t>
    </r>
  </si>
  <si>
    <r>
      <t>Pc</t>
    </r>
    <r>
      <rPr>
        <vertAlign val="subscript"/>
        <sz val="11"/>
        <rFont val="Calibri Light"/>
        <family val="2"/>
      </rPr>
      <t xml:space="preserve">max </t>
    </r>
    <r>
      <rPr>
        <sz val="11"/>
        <rFont val="Calibri Light"/>
        <family val="2"/>
      </rPr>
      <t>= concentração máxima do poluente no corpo d’água por m</t>
    </r>
    <r>
      <rPr>
        <vertAlign val="superscript"/>
        <sz val="11"/>
        <rFont val="Calibri Light"/>
        <family val="2"/>
      </rPr>
      <t>3</t>
    </r>
    <r>
      <rPr>
        <sz val="11"/>
        <rFont val="Calibri Light"/>
        <family val="2"/>
      </rPr>
      <t xml:space="preserve"> de água, que garanta que não haverá alteração significativa da qualidade da água; </t>
    </r>
  </si>
  <si>
    <r>
      <t>Pc = concentração do poluente por m</t>
    </r>
    <r>
      <rPr>
        <vertAlign val="superscript"/>
        <sz val="11"/>
        <color theme="1"/>
        <rFont val="Calibri Light"/>
        <family val="2"/>
      </rPr>
      <t>3</t>
    </r>
    <r>
      <rPr>
        <sz val="11"/>
        <color theme="1"/>
        <rFont val="Calibri Light"/>
        <family val="2"/>
      </rPr>
      <t xml:space="preserve"> de efluente bruto (não tratado)</t>
    </r>
  </si>
  <si>
    <r>
      <t>Qe</t>
    </r>
    <r>
      <rPr>
        <i/>
        <vertAlign val="subscript"/>
        <sz val="11"/>
        <color theme="1"/>
        <rFont val="Calibri Light"/>
        <family val="2"/>
      </rPr>
      <t>lan</t>
    </r>
    <r>
      <rPr>
        <sz val="11"/>
        <color theme="1"/>
        <rFont val="Calibri Light"/>
        <family val="2"/>
      </rPr>
      <t xml:space="preserve"> = quantidade de efluentes lançados</t>
    </r>
  </si>
  <si>
    <r>
      <t>$T</t>
    </r>
    <r>
      <rPr>
        <i/>
        <vertAlign val="subscript"/>
        <sz val="11"/>
        <color theme="1"/>
        <rFont val="Calibri Light"/>
        <family val="2"/>
      </rPr>
      <t>e</t>
    </r>
    <r>
      <rPr>
        <sz val="11"/>
        <color theme="1"/>
        <rFont val="Calibri Light"/>
        <family val="2"/>
      </rPr>
      <t xml:space="preserve"> = custo do tratamento de efluente do nível de qualidade</t>
    </r>
    <r>
      <rPr>
        <i/>
        <sz val="11"/>
        <color theme="1"/>
        <rFont val="Calibri Light"/>
        <family val="2"/>
      </rPr>
      <t xml:space="preserve"> Pc</t>
    </r>
    <r>
      <rPr>
        <sz val="11"/>
        <color theme="1"/>
        <rFont val="Calibri Light"/>
        <family val="2"/>
      </rPr>
      <t xml:space="preserve"> para o nível de qualidade </t>
    </r>
    <r>
      <rPr>
        <i/>
        <sz val="11"/>
        <color theme="1"/>
        <rFont val="Calibri Light"/>
        <family val="2"/>
      </rPr>
      <t>Pc</t>
    </r>
    <r>
      <rPr>
        <i/>
        <vertAlign val="subscript"/>
        <sz val="11"/>
        <color theme="1"/>
        <rFont val="Calibri Light"/>
        <family val="2"/>
      </rPr>
      <t>max</t>
    </r>
    <r>
      <rPr>
        <sz val="11"/>
        <color theme="1"/>
        <rFont val="Myriad Pro"/>
        <family val="2"/>
      </rPr>
      <t/>
    </r>
  </si>
  <si>
    <r>
      <t>I</t>
    </r>
    <r>
      <rPr>
        <i/>
        <vertAlign val="subscript"/>
        <sz val="11"/>
        <color theme="1"/>
        <rFont val="Calibri Light"/>
        <family val="2"/>
      </rPr>
      <t>ete</t>
    </r>
    <r>
      <rPr>
        <sz val="11"/>
        <color theme="1"/>
        <rFont val="Calibri Light"/>
        <family val="2"/>
      </rPr>
      <t xml:space="preserve"> = investimento que seria necessário para instalar e operar uma estação de tratamento de efluentes capaz de atingir os padrões de qualidade previstos em </t>
    </r>
    <r>
      <rPr>
        <i/>
        <sz val="11"/>
        <color theme="1"/>
        <rFont val="Calibri Light"/>
        <family val="2"/>
      </rPr>
      <t>Pc</t>
    </r>
    <r>
      <rPr>
        <i/>
        <vertAlign val="subscript"/>
        <sz val="11"/>
        <color theme="1"/>
        <rFont val="Calibri Light"/>
        <family val="2"/>
      </rPr>
      <t>max</t>
    </r>
    <r>
      <rPr>
        <sz val="11"/>
        <color theme="1"/>
        <rFont val="Calibri Light"/>
        <family val="2"/>
      </rPr>
      <t xml:space="preserve"> </t>
    </r>
  </si>
  <si>
    <r>
      <rPr>
        <b/>
        <i/>
        <sz val="11"/>
        <color theme="1"/>
        <rFont val="Calibri Light"/>
        <family val="2"/>
      </rPr>
      <t>A</t>
    </r>
    <r>
      <rPr>
        <b/>
        <i/>
        <vertAlign val="subscript"/>
        <sz val="11"/>
        <color theme="1"/>
        <rFont val="Calibri Light"/>
        <family val="2"/>
      </rPr>
      <t>rec</t>
    </r>
    <r>
      <rPr>
        <b/>
        <i/>
        <sz val="11"/>
        <color theme="1"/>
        <rFont val="Calibri Light"/>
        <family val="2"/>
      </rPr>
      <t xml:space="preserve"> </t>
    </r>
    <r>
      <rPr>
        <sz val="11"/>
        <color theme="1"/>
        <rFont val="Calibri Light"/>
        <family val="2"/>
      </rPr>
      <t>= área onde ocorreu recuperação de vegetação. Preencha os dados abaixo:</t>
    </r>
  </si>
  <si>
    <r>
      <rPr>
        <b/>
        <sz val="11"/>
        <rFont val="Calibri Light"/>
        <family val="2"/>
      </rPr>
      <t>C</t>
    </r>
    <r>
      <rPr>
        <b/>
        <vertAlign val="subscript"/>
        <sz val="11"/>
        <rFont val="Calibri Light"/>
        <family val="2"/>
      </rPr>
      <t>Vrec</t>
    </r>
    <r>
      <rPr>
        <b/>
        <sz val="11"/>
        <rFont val="Calibri Light"/>
        <family val="2"/>
      </rPr>
      <t xml:space="preserve"> </t>
    </r>
    <r>
      <rPr>
        <sz val="11"/>
        <rFont val="Calibri Light"/>
        <family val="2"/>
      </rPr>
      <t>= Estoque de carbono contido na biomassa da vegetação recuperada, podendo incluir o carbono acima e abaixo do solo</t>
    </r>
  </si>
  <si>
    <r>
      <t>tCO</t>
    </r>
    <r>
      <rPr>
        <vertAlign val="subscript"/>
        <sz val="11"/>
        <rFont val="Calibri Light"/>
        <family val="2"/>
      </rPr>
      <t>2</t>
    </r>
    <r>
      <rPr>
        <sz val="11"/>
        <rFont val="Calibri Light"/>
        <family val="2"/>
      </rPr>
      <t>e/ha</t>
    </r>
  </si>
  <si>
    <r>
      <t xml:space="preserve">Uso do solo </t>
    </r>
    <r>
      <rPr>
        <i/>
        <sz val="11"/>
        <rFont val="Calibri Light"/>
        <family val="2"/>
      </rPr>
      <t>ex-ante</t>
    </r>
    <r>
      <rPr>
        <sz val="11"/>
        <rFont val="Calibri Light"/>
        <family val="2"/>
      </rPr>
      <t xml:space="preserve"> ao projeto nas áreas de plantio total: </t>
    </r>
  </si>
  <si>
    <r>
      <t>tCO</t>
    </r>
    <r>
      <rPr>
        <vertAlign val="subscript"/>
        <sz val="10"/>
        <rFont val="Calibri Light"/>
        <family val="2"/>
      </rPr>
      <t>2</t>
    </r>
    <r>
      <rPr>
        <sz val="10"/>
        <rFont val="Calibri Light"/>
        <family val="2"/>
      </rPr>
      <t>e</t>
    </r>
  </si>
  <si>
    <r>
      <rPr>
        <b/>
        <i/>
        <sz val="11"/>
        <color theme="1"/>
        <rFont val="Calibri Light"/>
        <family val="2"/>
      </rPr>
      <t>A</t>
    </r>
    <r>
      <rPr>
        <b/>
        <i/>
        <vertAlign val="subscript"/>
        <sz val="11"/>
        <color theme="1"/>
        <rFont val="Calibri Light"/>
        <family val="2"/>
      </rPr>
      <t>rem</t>
    </r>
    <r>
      <rPr>
        <sz val="11"/>
        <color theme="1"/>
        <rFont val="Calibri Light"/>
        <family val="2"/>
      </rPr>
      <t>= área onde ocorreu remoção de vegetação</t>
    </r>
  </si>
  <si>
    <r>
      <rPr>
        <b/>
        <i/>
        <sz val="11"/>
        <rFont val="Calibri Light"/>
        <family val="2"/>
      </rPr>
      <t>C</t>
    </r>
    <r>
      <rPr>
        <b/>
        <i/>
        <vertAlign val="subscript"/>
        <sz val="11"/>
        <rFont val="Calibri Light"/>
        <family val="2"/>
      </rPr>
      <t>Vrem</t>
    </r>
    <r>
      <rPr>
        <i/>
        <sz val="11"/>
        <rFont val="Calibri Light"/>
        <family val="2"/>
      </rPr>
      <t xml:space="preserve"> = </t>
    </r>
    <r>
      <rPr>
        <sz val="11"/>
        <rFont val="Calibri Light"/>
        <family val="2"/>
      </rPr>
      <t>Estoque de carbono contido na biomassa da vegetação removida, podendo incluir o carbono acima e abaixo do solo</t>
    </r>
  </si>
  <si>
    <r>
      <t>tCO</t>
    </r>
    <r>
      <rPr>
        <vertAlign val="subscript"/>
        <sz val="11"/>
        <color theme="1"/>
        <rFont val="Calibri Light"/>
        <family val="2"/>
      </rPr>
      <t>2</t>
    </r>
    <r>
      <rPr>
        <sz val="11"/>
        <color theme="1"/>
        <rFont val="Calibri Light"/>
        <family val="2"/>
      </rPr>
      <t>/ha</t>
    </r>
  </si>
  <si>
    <r>
      <rPr>
        <b/>
        <i/>
        <sz val="11"/>
        <rFont val="Calibri Light"/>
        <family val="2"/>
      </rPr>
      <t>CSC</t>
    </r>
    <r>
      <rPr>
        <b/>
        <sz val="11"/>
        <rFont val="Calibri Light"/>
        <family val="2"/>
      </rPr>
      <t xml:space="preserve"> </t>
    </r>
    <r>
      <rPr>
        <sz val="11"/>
        <rFont val="Calibri Light"/>
        <family val="2"/>
      </rPr>
      <t>= custo social do carbono</t>
    </r>
  </si>
  <si>
    <r>
      <t>BtCO</t>
    </r>
    <r>
      <rPr>
        <b/>
        <vertAlign val="subscript"/>
        <sz val="12"/>
        <color theme="1"/>
        <rFont val="Calibri Light"/>
        <family val="2"/>
      </rPr>
      <t>2</t>
    </r>
    <r>
      <rPr>
        <b/>
        <sz val="12"/>
        <color theme="1"/>
        <rFont val="Calibri Light"/>
        <family val="2"/>
      </rPr>
      <t>e</t>
    </r>
  </si>
  <si>
    <r>
      <rPr>
        <b/>
        <i/>
        <sz val="11"/>
        <rFont val="Calibri Light"/>
        <family val="2"/>
      </rPr>
      <t>A</t>
    </r>
    <r>
      <rPr>
        <b/>
        <sz val="11"/>
        <rFont val="Calibri Light"/>
        <family val="2"/>
      </rPr>
      <t xml:space="preserve"> </t>
    </r>
    <r>
      <rPr>
        <sz val="11"/>
        <rFont val="Calibri Light"/>
        <family val="2"/>
      </rPr>
      <t>= área total</t>
    </r>
  </si>
  <si>
    <r>
      <rPr>
        <b/>
        <i/>
        <sz val="11"/>
        <rFont val="Calibri Light"/>
        <family val="2"/>
      </rPr>
      <t>T</t>
    </r>
    <r>
      <rPr>
        <b/>
        <i/>
        <vertAlign val="subscript"/>
        <sz val="11"/>
        <rFont val="Calibri Light"/>
        <family val="2"/>
      </rPr>
      <t>lb</t>
    </r>
    <r>
      <rPr>
        <sz val="11"/>
        <rFont val="Calibri Light"/>
        <family val="2"/>
      </rPr>
      <t xml:space="preserve"> = Taxa de desmatamento na linha de base</t>
    </r>
  </si>
  <si>
    <r>
      <rPr>
        <b/>
        <i/>
        <sz val="11"/>
        <color theme="1"/>
        <rFont val="Calibri Light"/>
        <family val="2"/>
      </rPr>
      <t>T</t>
    </r>
    <r>
      <rPr>
        <b/>
        <i/>
        <vertAlign val="subscript"/>
        <sz val="11"/>
        <color theme="1"/>
        <rFont val="Calibri Light"/>
        <family val="2"/>
      </rPr>
      <t xml:space="preserve">p </t>
    </r>
    <r>
      <rPr>
        <sz val="11"/>
        <color theme="1"/>
        <rFont val="Calibri Light"/>
        <family val="2"/>
      </rPr>
      <t>= Taxa de desmatamento com o projeto</t>
    </r>
  </si>
  <si>
    <r>
      <rPr>
        <b/>
        <sz val="11"/>
        <rFont val="Calibri Light"/>
        <family val="2"/>
      </rPr>
      <t>C</t>
    </r>
    <r>
      <rPr>
        <b/>
        <vertAlign val="subscript"/>
        <sz val="11"/>
        <rFont val="Calibri Light"/>
        <family val="2"/>
      </rPr>
      <t>veg</t>
    </r>
    <r>
      <rPr>
        <b/>
        <sz val="11"/>
        <rFont val="Calibri Light"/>
        <family val="2"/>
      </rPr>
      <t xml:space="preserve"> </t>
    </r>
    <r>
      <rPr>
        <sz val="11"/>
        <rFont val="Calibri Light"/>
        <family val="2"/>
      </rPr>
      <t>= Estoque de carbono contido na biomassa da vegetação, podendo incluir o carbono acima e abaixo do solo</t>
    </r>
  </si>
  <si>
    <r>
      <rPr>
        <b/>
        <sz val="11"/>
        <rFont val="Calibri Light"/>
        <family val="2"/>
      </rPr>
      <t>C</t>
    </r>
    <r>
      <rPr>
        <b/>
        <vertAlign val="subscript"/>
        <sz val="11"/>
        <rFont val="Calibri Light"/>
        <family val="2"/>
      </rPr>
      <t>pd</t>
    </r>
    <r>
      <rPr>
        <b/>
        <sz val="11"/>
        <rFont val="Calibri Light"/>
        <family val="2"/>
      </rPr>
      <t xml:space="preserve"> </t>
    </r>
    <r>
      <rPr>
        <sz val="11"/>
        <rFont val="Calibri Light"/>
        <family val="2"/>
      </rPr>
      <t>= Estoque de carbono contido na biomassa da vegetação remanescente após o desmatamento, podendo incluir o carbono acima e abaixo do solo</t>
    </r>
  </si>
  <si>
    <r>
      <rPr>
        <b/>
        <sz val="11"/>
        <rFont val="Calibri Light"/>
        <family val="2"/>
      </rPr>
      <t>CSC</t>
    </r>
    <r>
      <rPr>
        <sz val="11"/>
        <rFont val="Calibri Light"/>
        <family val="2"/>
      </rPr>
      <t xml:space="preserve"> = Custo social do carbono</t>
    </r>
  </si>
  <si>
    <r>
      <t>E</t>
    </r>
    <r>
      <rPr>
        <b/>
        <vertAlign val="subscript"/>
        <sz val="12"/>
        <rFont val="Calibri Light"/>
        <family val="2"/>
      </rPr>
      <t>ev</t>
    </r>
  </si>
  <si>
    <r>
      <t>E</t>
    </r>
    <r>
      <rPr>
        <b/>
        <vertAlign val="subscript"/>
        <sz val="12"/>
        <color theme="1"/>
        <rFont val="Calibri Light"/>
        <family val="2"/>
      </rPr>
      <t>ev</t>
    </r>
  </si>
  <si>
    <r>
      <t>tCO</t>
    </r>
    <r>
      <rPr>
        <b/>
        <vertAlign val="subscript"/>
        <sz val="11"/>
        <rFont val="Calibri Light"/>
        <family val="2"/>
      </rPr>
      <t>2</t>
    </r>
    <r>
      <rPr>
        <b/>
        <sz val="11"/>
        <rFont val="Calibri Light"/>
        <family val="2"/>
      </rPr>
      <t>e</t>
    </r>
  </si>
  <si>
    <r>
      <t xml:space="preserve"> </t>
    </r>
    <r>
      <rPr>
        <i/>
        <sz val="11"/>
        <color theme="1"/>
        <rFont val="Calibri Light"/>
        <family val="2"/>
      </rPr>
      <t>j = c</t>
    </r>
    <r>
      <rPr>
        <sz val="11"/>
        <color theme="1"/>
        <rFont val="Calibri Light"/>
        <family val="2"/>
      </rPr>
      <t>ultura agrícola de interesse</t>
    </r>
  </si>
  <si>
    <r>
      <t>A</t>
    </r>
    <r>
      <rPr>
        <i/>
        <vertAlign val="subscript"/>
        <sz val="11"/>
        <rFont val="Calibri Light"/>
        <family val="2"/>
      </rPr>
      <t>jn</t>
    </r>
    <r>
      <rPr>
        <sz val="11"/>
        <rFont val="Calibri Light"/>
        <family val="2"/>
      </rPr>
      <t xml:space="preserve"> = área </t>
    </r>
    <r>
      <rPr>
        <i/>
        <sz val="11"/>
        <rFont val="Calibri Light"/>
        <family val="2"/>
      </rPr>
      <t>n</t>
    </r>
    <r>
      <rPr>
        <sz val="11"/>
        <rFont val="Calibri Light"/>
        <family val="2"/>
      </rPr>
      <t xml:space="preserve"> da cultura agrícola </t>
    </r>
    <r>
      <rPr>
        <i/>
        <sz val="11"/>
        <rFont val="Calibri Light"/>
        <family val="2"/>
      </rPr>
      <t>j</t>
    </r>
  </si>
  <si>
    <r>
      <t>Pmca</t>
    </r>
    <r>
      <rPr>
        <i/>
        <vertAlign val="subscript"/>
        <sz val="11"/>
        <rFont val="Calibri Light"/>
        <family val="2"/>
      </rPr>
      <t>j</t>
    </r>
    <r>
      <rPr>
        <sz val="11"/>
        <rFont val="Calibri Light"/>
        <family val="2"/>
      </rPr>
      <t xml:space="preserve"> = produtividade máxima da cultura agrícola </t>
    </r>
    <r>
      <rPr>
        <i/>
        <sz val="11"/>
        <rFont val="Calibri Light"/>
        <family val="2"/>
      </rPr>
      <t>j</t>
    </r>
    <r>
      <rPr>
        <sz val="11"/>
        <rFont val="Calibri Light"/>
        <family val="2"/>
      </rPr>
      <t xml:space="preserve"> </t>
    </r>
  </si>
  <si>
    <r>
      <t>GPpaca</t>
    </r>
    <r>
      <rPr>
        <i/>
        <vertAlign val="subscript"/>
        <sz val="11"/>
        <color theme="1"/>
        <rFont val="Calibri Light"/>
        <family val="2"/>
      </rPr>
      <t>j</t>
    </r>
    <r>
      <rPr>
        <sz val="11"/>
        <color theme="1"/>
        <rFont val="Calibri Light"/>
        <family val="2"/>
      </rPr>
      <t xml:space="preserve"> = Ganho de produtividade com polinização por abelhas da cultura agrícola </t>
    </r>
    <r>
      <rPr>
        <i/>
        <sz val="11"/>
        <color theme="1"/>
        <rFont val="Calibri Light"/>
        <family val="2"/>
      </rPr>
      <t>j</t>
    </r>
    <r>
      <rPr>
        <sz val="11"/>
        <color theme="1"/>
        <rFont val="Calibri Light"/>
        <family val="2"/>
      </rPr>
      <t xml:space="preserve"> </t>
    </r>
  </si>
  <si>
    <r>
      <t>Esf</t>
    </r>
    <r>
      <rPr>
        <i/>
        <vertAlign val="subscript"/>
        <sz val="11"/>
        <rFont val="Calibri Light"/>
        <family val="2"/>
      </rPr>
      <t>rp</t>
    </r>
    <r>
      <rPr>
        <sz val="11"/>
        <rFont val="Calibri Light"/>
        <family val="2"/>
      </rPr>
      <t xml:space="preserve"> = esforço necessário para a reposição total da polinização da qual depende a cultura agrícola </t>
    </r>
    <r>
      <rPr>
        <i/>
        <sz val="11"/>
        <rFont val="Calibri Light"/>
        <family val="2"/>
      </rPr>
      <t>j</t>
    </r>
  </si>
  <si>
    <r>
      <t>$cd</t>
    </r>
    <r>
      <rPr>
        <vertAlign val="subscript"/>
        <sz val="11"/>
        <rFont val="Calibri Light"/>
        <family val="2"/>
      </rPr>
      <t>rp</t>
    </r>
    <r>
      <rPr>
        <sz val="11"/>
        <rFont val="Calibri Light"/>
        <family val="2"/>
      </rPr>
      <t xml:space="preserve"> = custos diretos do esforço de reposição da polinização</t>
    </r>
  </si>
  <si>
    <r>
      <t>$ci</t>
    </r>
    <r>
      <rPr>
        <i/>
        <vertAlign val="subscript"/>
        <sz val="11"/>
        <rFont val="Calibri Light"/>
        <family val="2"/>
      </rPr>
      <t>rp</t>
    </r>
    <r>
      <rPr>
        <sz val="11"/>
        <rFont val="Calibri Light"/>
        <family val="2"/>
      </rPr>
      <t xml:space="preserve"> = custos indiretos da reposição de polinização</t>
    </r>
  </si>
  <si>
    <r>
      <t xml:space="preserve">Utilize os resultados de valor deste quadro para preencher a </t>
    </r>
    <r>
      <rPr>
        <sz val="11"/>
        <color rgb="FFFF0000"/>
        <rFont val="Calibri Light"/>
        <family val="2"/>
      </rPr>
      <t>Tabela 1.1</t>
    </r>
    <r>
      <rPr>
        <sz val="11"/>
        <rFont val="Calibri Light"/>
        <family val="2"/>
      </rPr>
      <t xml:space="preserve"> - Totalização </t>
    </r>
    <r>
      <rPr>
        <sz val="11"/>
        <color rgb="FFFF0000"/>
        <rFont val="Calibri Light"/>
        <family val="2"/>
      </rPr>
      <t>de valores d</t>
    </r>
    <r>
      <rPr>
        <sz val="11"/>
        <rFont val="Calibri Light"/>
        <family val="2"/>
      </rPr>
      <t>e dependência</t>
    </r>
  </si>
  <si>
    <r>
      <t xml:space="preserve">Preencha a tabela abaixo conforme obtiver os valores para cada área </t>
    </r>
    <r>
      <rPr>
        <i/>
        <sz val="11"/>
        <rFont val="Calibri Light"/>
        <family val="2"/>
      </rPr>
      <t>n</t>
    </r>
    <r>
      <rPr>
        <sz val="11"/>
        <rFont val="Calibri Light"/>
        <family val="2"/>
      </rPr>
      <t xml:space="preserve"> de cada cultuta agrícola </t>
    </r>
    <r>
      <rPr>
        <i/>
        <sz val="11"/>
        <rFont val="Calibri Light"/>
        <family val="2"/>
      </rPr>
      <t>j</t>
    </r>
  </si>
  <si>
    <r>
      <rPr>
        <b/>
        <i/>
        <sz val="11"/>
        <rFont val="Calibri Light"/>
        <family val="2"/>
      </rPr>
      <t>j</t>
    </r>
    <r>
      <rPr>
        <b/>
        <sz val="11"/>
        <rFont val="Calibri Light"/>
        <family val="2"/>
      </rPr>
      <t xml:space="preserve"> \ </t>
    </r>
    <r>
      <rPr>
        <b/>
        <i/>
        <sz val="11"/>
        <rFont val="Calibri Light"/>
        <family val="2"/>
      </rPr>
      <t>n</t>
    </r>
  </si>
  <si>
    <r>
      <t xml:space="preserve">Preencha a tabela abaixo conforme obtiver os valores para cada área </t>
    </r>
    <r>
      <rPr>
        <i/>
        <sz val="11"/>
        <color theme="1"/>
        <rFont val="Calibri Light"/>
        <family val="2"/>
      </rPr>
      <t>n</t>
    </r>
    <r>
      <rPr>
        <sz val="11"/>
        <color theme="1"/>
        <rFont val="Calibri Light"/>
        <family val="2"/>
      </rPr>
      <t xml:space="preserve"> de cada cultuta agrícola </t>
    </r>
    <r>
      <rPr>
        <i/>
        <sz val="11"/>
        <color theme="1"/>
        <rFont val="Calibri Light"/>
        <family val="2"/>
      </rPr>
      <t>j</t>
    </r>
  </si>
  <si>
    <r>
      <rPr>
        <b/>
        <i/>
        <sz val="11"/>
        <color theme="1"/>
        <rFont val="Calibri Light"/>
        <family val="2"/>
      </rPr>
      <t>j</t>
    </r>
    <r>
      <rPr>
        <b/>
        <sz val="11"/>
        <color theme="1"/>
        <rFont val="Calibri Light"/>
        <family val="2"/>
      </rPr>
      <t xml:space="preserve"> \ </t>
    </r>
    <r>
      <rPr>
        <b/>
        <i/>
        <sz val="11"/>
        <color theme="1"/>
        <rFont val="Calibri Light"/>
        <family val="2"/>
      </rPr>
      <t>n</t>
    </r>
  </si>
  <si>
    <r>
      <t xml:space="preserve">Os cálculos devem ser feitos para cada cultura agrícola </t>
    </r>
    <r>
      <rPr>
        <i/>
        <sz val="11"/>
        <rFont val="Calibri Light"/>
        <family val="2"/>
      </rPr>
      <t xml:space="preserve">j </t>
    </r>
    <r>
      <rPr>
        <sz val="11"/>
        <rFont val="Calibri Light"/>
        <family val="2"/>
      </rPr>
      <t xml:space="preserve">por vez. Após preencher as Tabela 2.4, 2.5 e 2.6 (em QUANTIFICAÇÃO E VALORAÇÃO) com os resultados de uma determinada cultura agrícola, apague todas as células cinzas dos DADOS DE ENTRADAS e preencha com as informações da outra cultura agrícola. </t>
    </r>
  </si>
  <si>
    <r>
      <t>A</t>
    </r>
    <r>
      <rPr>
        <i/>
        <vertAlign val="subscript"/>
        <sz val="11"/>
        <color theme="1"/>
        <rFont val="Calibri Light"/>
        <family val="2"/>
      </rPr>
      <t>jn</t>
    </r>
    <r>
      <rPr>
        <sz val="11"/>
        <color theme="1"/>
        <rFont val="Calibri Light"/>
        <family val="2"/>
      </rPr>
      <t xml:space="preserve"> = área </t>
    </r>
    <r>
      <rPr>
        <i/>
        <sz val="11"/>
        <color theme="1"/>
        <rFont val="Calibri Light"/>
        <family val="2"/>
      </rPr>
      <t>n</t>
    </r>
    <r>
      <rPr>
        <sz val="11"/>
        <color theme="1"/>
        <rFont val="Calibri Light"/>
        <family val="2"/>
      </rPr>
      <t xml:space="preserve"> da cultura agrícola </t>
    </r>
    <r>
      <rPr>
        <i/>
        <sz val="11"/>
        <color theme="1"/>
        <rFont val="Calibri Light"/>
        <family val="2"/>
      </rPr>
      <t>j</t>
    </r>
  </si>
  <si>
    <r>
      <rPr>
        <i/>
        <sz val="11"/>
        <color theme="1"/>
        <rFont val="Calibri Light"/>
        <family val="2"/>
      </rPr>
      <t>Pmcaj</t>
    </r>
    <r>
      <rPr>
        <sz val="11"/>
        <color theme="1"/>
        <rFont val="Calibri Light"/>
        <family val="2"/>
      </rPr>
      <t xml:space="preserve"> = produtividade máxima da cultura agrícola j </t>
    </r>
  </si>
  <si>
    <r>
      <rPr>
        <i/>
        <sz val="11"/>
        <color theme="1"/>
        <rFont val="Calibri Light"/>
        <family val="2"/>
      </rPr>
      <t>$caj</t>
    </r>
    <r>
      <rPr>
        <sz val="11"/>
        <color theme="1"/>
        <rFont val="Calibri Light"/>
        <family val="2"/>
      </rPr>
      <t xml:space="preserve"> = preço de venda da cultura agrícola j</t>
    </r>
  </si>
  <si>
    <r>
      <rPr>
        <i/>
        <sz val="11"/>
        <rFont val="Calibri Light"/>
        <family val="2"/>
      </rPr>
      <t>DPcaj</t>
    </r>
    <r>
      <rPr>
        <sz val="11"/>
        <rFont val="Calibri Light"/>
        <family val="2"/>
      </rPr>
      <t xml:space="preserve"> = dependência de polinização por abelhas da cultura agrícola j</t>
    </r>
  </si>
  <si>
    <r>
      <rPr>
        <i/>
        <sz val="11"/>
        <rFont val="Calibri Light"/>
        <family val="2"/>
      </rPr>
      <t>Dpca</t>
    </r>
    <r>
      <rPr>
        <i/>
        <vertAlign val="subscript"/>
        <sz val="11"/>
        <rFont val="Calibri Light"/>
        <family val="2"/>
      </rPr>
      <t>j</t>
    </r>
    <r>
      <rPr>
        <i/>
        <sz val="11"/>
        <rFont val="Calibri Light"/>
        <family val="2"/>
      </rPr>
      <t xml:space="preserve"> </t>
    </r>
    <r>
      <rPr>
        <sz val="11"/>
        <rFont val="Calibri Light"/>
        <family val="2"/>
      </rPr>
      <t>= estimativa da densidade de polinizadores necessária para garantir a máxima polinização de 1 ha da cultura agrícola j</t>
    </r>
  </si>
  <si>
    <r>
      <t>GPpaca</t>
    </r>
    <r>
      <rPr>
        <i/>
        <vertAlign val="subscript"/>
        <sz val="11"/>
        <rFont val="Calibri Light"/>
        <family val="2"/>
      </rPr>
      <t>j</t>
    </r>
    <r>
      <rPr>
        <sz val="11"/>
        <rFont val="Calibri Light"/>
        <family val="2"/>
      </rPr>
      <t xml:space="preserve"> = ganho de produtividade com polinização por abelhas da cultura agrícola </t>
    </r>
    <r>
      <rPr>
        <i/>
        <sz val="11"/>
        <rFont val="Calibri Light"/>
        <family val="2"/>
      </rPr>
      <t>j</t>
    </r>
    <r>
      <rPr>
        <sz val="11"/>
        <rFont val="Calibri Light"/>
        <family val="2"/>
      </rPr>
      <t xml:space="preserve"> </t>
    </r>
  </si>
  <si>
    <r>
      <t xml:space="preserve">Caracterize abaixo o uso de solo em cada uma das áreas </t>
    </r>
    <r>
      <rPr>
        <i/>
        <sz val="11"/>
        <color theme="1"/>
        <rFont val="Calibri Light"/>
        <family val="2"/>
      </rPr>
      <t>m</t>
    </r>
    <r>
      <rPr>
        <sz val="11"/>
        <color theme="1"/>
        <rFont val="Calibri Light"/>
        <family val="2"/>
      </rPr>
      <t xml:space="preserve"> que forem analisadas.</t>
    </r>
  </si>
  <si>
    <r>
      <t xml:space="preserve">Insira os dados sobre as distâncias das áreas </t>
    </r>
    <r>
      <rPr>
        <i/>
        <sz val="11"/>
        <color theme="1"/>
        <rFont val="Calibri Light"/>
        <family val="2"/>
      </rPr>
      <t xml:space="preserve">m, </t>
    </r>
    <r>
      <rPr>
        <sz val="11"/>
        <color theme="1"/>
        <rFont val="Calibri Light"/>
        <family val="2"/>
      </rPr>
      <t xml:space="preserve">provedoras de polinizadores, para a área </t>
    </r>
    <r>
      <rPr>
        <i/>
        <sz val="11"/>
        <color theme="1"/>
        <rFont val="Calibri Light"/>
        <family val="2"/>
      </rPr>
      <t>n</t>
    </r>
    <r>
      <rPr>
        <sz val="11"/>
        <color theme="1"/>
        <rFont val="Calibri Light"/>
        <family val="2"/>
      </rPr>
      <t xml:space="preserve"> demandante de polinização, que estiver sendo analisada no momento (</t>
    </r>
    <r>
      <rPr>
        <i/>
        <sz val="11"/>
        <color theme="1"/>
        <rFont val="Calibri Light"/>
        <family val="2"/>
      </rPr>
      <t>d</t>
    </r>
    <r>
      <rPr>
        <i/>
        <vertAlign val="subscript"/>
        <sz val="11"/>
        <color theme="1"/>
        <rFont val="Calibri Light"/>
        <family val="2"/>
      </rPr>
      <t>mn</t>
    </r>
    <r>
      <rPr>
        <sz val="11"/>
        <color theme="1"/>
        <rFont val="Calibri Light"/>
        <family val="2"/>
      </rPr>
      <t xml:space="preserve">). Considere até 12 áreas </t>
    </r>
    <r>
      <rPr>
        <i/>
        <sz val="11"/>
        <color theme="1"/>
        <rFont val="Calibri Light"/>
        <family val="2"/>
      </rPr>
      <t>m</t>
    </r>
    <r>
      <rPr>
        <sz val="11"/>
        <color theme="1"/>
        <rFont val="Calibri Light"/>
        <family val="2"/>
      </rPr>
      <t xml:space="preserve"> mais próximas de </t>
    </r>
    <r>
      <rPr>
        <i/>
        <sz val="11"/>
        <color theme="1"/>
        <rFont val="Calibri Light"/>
        <family val="2"/>
      </rPr>
      <t>n</t>
    </r>
    <r>
      <rPr>
        <sz val="11"/>
        <color theme="1"/>
        <rFont val="Calibri Light"/>
        <family val="2"/>
      </rPr>
      <t>. Se o total de áreas m de interesse (M), for menor do que 12, deixe em branco dmn para m &gt; M.</t>
    </r>
  </si>
  <si>
    <r>
      <t xml:space="preserve">Áreas </t>
    </r>
    <r>
      <rPr>
        <b/>
        <i/>
        <sz val="11"/>
        <color theme="1"/>
        <rFont val="Calibri Light"/>
        <family val="2"/>
      </rPr>
      <t xml:space="preserve">m </t>
    </r>
    <r>
      <rPr>
        <b/>
        <sz val="11"/>
        <color theme="1"/>
        <rFont val="Calibri Light"/>
        <family val="2"/>
      </rPr>
      <t>(provedoras de polinizadores)</t>
    </r>
  </si>
  <si>
    <r>
      <t>Liste aqui apenas as espécies de abelhas diagnosticadas em campo. Insira os dados coletados em campo sobre abundância dos polinizadores (Ap</t>
    </r>
    <r>
      <rPr>
        <vertAlign val="subscript"/>
        <sz val="11"/>
        <color theme="1"/>
        <rFont val="Calibri Light"/>
        <family val="2"/>
      </rPr>
      <t>m</t>
    </r>
    <r>
      <rPr>
        <sz val="11"/>
        <color theme="1"/>
        <rFont val="Calibri Light"/>
        <family val="2"/>
      </rPr>
      <t>)</t>
    </r>
  </si>
  <si>
    <r>
      <t>Polinizadores já cadastrados (Rp</t>
    </r>
    <r>
      <rPr>
        <b/>
        <vertAlign val="subscript"/>
        <sz val="11"/>
        <color theme="1"/>
        <rFont val="Calibri Light"/>
        <family val="2"/>
      </rPr>
      <t>m)</t>
    </r>
  </si>
  <si>
    <r>
      <t xml:space="preserve">Ap = </t>
    </r>
    <r>
      <rPr>
        <i/>
        <sz val="11"/>
        <color theme="1"/>
        <rFont val="Calibri Light"/>
        <family val="2"/>
      </rPr>
      <t>Abundância de polinizadores (abelhas/ha)</t>
    </r>
  </si>
  <si>
    <r>
      <t>Insira na tabela abaixo as espécies diagnosticadas e que não estão cadastradas. Espécies que tenham a mesma distância de voo (</t>
    </r>
    <r>
      <rPr>
        <i/>
        <sz val="11"/>
        <color theme="1"/>
        <rFont val="Calibri Light"/>
        <family val="2"/>
      </rPr>
      <t>di</t>
    </r>
    <r>
      <rPr>
        <sz val="11"/>
        <color theme="1"/>
        <rFont val="Calibri Light"/>
        <family val="2"/>
      </rPr>
      <t>) ou distância entre as bases das asas (</t>
    </r>
    <r>
      <rPr>
        <i/>
        <sz val="11"/>
        <color theme="1"/>
        <rFont val="Calibri Light"/>
        <family val="2"/>
      </rPr>
      <t>Ti</t>
    </r>
    <r>
      <rPr>
        <sz val="11"/>
        <color theme="1"/>
        <rFont val="Calibri Light"/>
        <family val="2"/>
      </rPr>
      <t>) podem ser agrupadas por conveniência, se desejado. Não é necessário um nome científico exato, basta um nome qualquer que identifique a espécie ou grupo.</t>
    </r>
  </si>
  <si>
    <r>
      <t xml:space="preserve">É necessário inserir uma estimativa de </t>
    </r>
    <r>
      <rPr>
        <i/>
        <sz val="11"/>
        <rFont val="Calibri Light"/>
        <family val="2"/>
      </rPr>
      <t>di</t>
    </r>
    <r>
      <rPr>
        <sz val="11"/>
        <rFont val="Calibri Light"/>
        <family val="2"/>
      </rPr>
      <t xml:space="preserve"> ou, em sua ausência, a medida de </t>
    </r>
    <r>
      <rPr>
        <i/>
        <sz val="11"/>
        <rFont val="Calibri Light"/>
        <family val="2"/>
      </rPr>
      <t>Ti</t>
    </r>
    <r>
      <rPr>
        <sz val="11"/>
        <rFont val="Calibri Light"/>
        <family val="2"/>
      </rPr>
      <t xml:space="preserve"> (que deve ser feita a partir do diagnóstico de campo).</t>
    </r>
  </si>
  <si>
    <r>
      <t>Rp</t>
    </r>
    <r>
      <rPr>
        <b/>
        <vertAlign val="subscript"/>
        <sz val="11"/>
        <color theme="1"/>
        <rFont val="Calibri Light"/>
        <family val="2"/>
      </rPr>
      <t>m</t>
    </r>
  </si>
  <si>
    <r>
      <t xml:space="preserve">Preencha a tabela abaixo conforme obtiver os valores para cada área </t>
    </r>
    <r>
      <rPr>
        <i/>
        <sz val="11"/>
        <rFont val="Calibri Light"/>
        <family val="2"/>
      </rPr>
      <t>n</t>
    </r>
    <r>
      <rPr>
        <sz val="11"/>
        <rFont val="Calibri Light"/>
        <family val="2"/>
      </rPr>
      <t xml:space="preserve"> de cada cultuta agrícola </t>
    </r>
    <r>
      <rPr>
        <i/>
        <sz val="11"/>
        <rFont val="Calibri Light"/>
        <family val="2"/>
      </rPr>
      <t>j.</t>
    </r>
  </si>
  <si>
    <r>
      <rPr>
        <b/>
        <i/>
        <sz val="12"/>
        <rFont val="Calibri Light"/>
        <family val="2"/>
      </rPr>
      <t>j</t>
    </r>
    <r>
      <rPr>
        <b/>
        <sz val="12"/>
        <rFont val="Calibri Light"/>
        <family val="2"/>
      </rPr>
      <t xml:space="preserve"> \ </t>
    </r>
    <r>
      <rPr>
        <b/>
        <i/>
        <sz val="12"/>
        <rFont val="Calibri Light"/>
        <family val="2"/>
      </rPr>
      <t>n</t>
    </r>
  </si>
  <si>
    <r>
      <t xml:space="preserve">Totais </t>
    </r>
    <r>
      <rPr>
        <b/>
        <i/>
        <sz val="11"/>
        <color theme="1"/>
        <rFont val="Calibri Light"/>
        <family val="2"/>
      </rPr>
      <t xml:space="preserve">J </t>
    </r>
    <r>
      <rPr>
        <b/>
        <sz val="11"/>
        <color theme="1"/>
        <rFont val="Calibri Light"/>
        <family val="2"/>
      </rPr>
      <t>(R$)</t>
    </r>
  </si>
  <si>
    <r>
      <rPr>
        <b/>
        <i/>
        <sz val="11"/>
        <color theme="0"/>
        <rFont val="Calibri Light"/>
        <family val="2"/>
      </rPr>
      <t>T</t>
    </r>
    <r>
      <rPr>
        <b/>
        <i/>
        <vertAlign val="subscript"/>
        <sz val="11"/>
        <color theme="0"/>
        <rFont val="Calibri Light"/>
        <family val="2"/>
      </rPr>
      <t>i</t>
    </r>
    <r>
      <rPr>
        <b/>
        <sz val="11"/>
        <color theme="0"/>
        <rFont val="Calibri Light"/>
        <family val="2"/>
      </rPr>
      <t xml:space="preserve"> (mm)</t>
    </r>
  </si>
  <si>
    <r>
      <rPr>
        <b/>
        <i/>
        <sz val="11"/>
        <color theme="0"/>
        <rFont val="Calibri Light"/>
        <family val="2"/>
      </rPr>
      <t>d</t>
    </r>
    <r>
      <rPr>
        <b/>
        <i/>
        <vertAlign val="subscript"/>
        <sz val="11"/>
        <color theme="0"/>
        <rFont val="Calibri Light"/>
        <family val="2"/>
      </rPr>
      <t>i</t>
    </r>
    <r>
      <rPr>
        <b/>
        <sz val="11"/>
        <color theme="0"/>
        <rFont val="Calibri Light"/>
        <family val="2"/>
      </rPr>
      <t xml:space="preserve"> (Km)</t>
    </r>
  </si>
  <si>
    <r>
      <t xml:space="preserve">Áreas </t>
    </r>
    <r>
      <rPr>
        <i/>
        <sz val="11"/>
        <color theme="0"/>
        <rFont val="Calibri Light"/>
        <family val="2"/>
      </rPr>
      <t xml:space="preserve">m </t>
    </r>
    <r>
      <rPr>
        <sz val="11"/>
        <color theme="0"/>
        <rFont val="Calibri Light"/>
        <family val="2"/>
      </rPr>
      <t>(provedoras de polinizadores)</t>
    </r>
  </si>
  <si>
    <r>
      <t xml:space="preserve"> (</t>
    </r>
    <r>
      <rPr>
        <i/>
        <sz val="11"/>
        <color theme="0"/>
        <rFont val="Calibri Light"/>
        <family val="2"/>
      </rPr>
      <t>d</t>
    </r>
    <r>
      <rPr>
        <i/>
        <vertAlign val="subscript"/>
        <sz val="11"/>
        <color theme="0"/>
        <rFont val="Calibri Light"/>
        <family val="2"/>
      </rPr>
      <t>i</t>
    </r>
    <r>
      <rPr>
        <sz val="11"/>
        <color theme="0"/>
        <rFont val="Calibri Light"/>
        <family val="2"/>
      </rPr>
      <t>)</t>
    </r>
  </si>
  <si>
    <r>
      <t xml:space="preserve">Variação de </t>
    </r>
    <r>
      <rPr>
        <i/>
        <sz val="11"/>
        <color theme="0"/>
        <rFont val="Calibri Light"/>
        <family val="2"/>
      </rPr>
      <t>LLI</t>
    </r>
    <r>
      <rPr>
        <sz val="11"/>
        <color theme="0"/>
        <rFont val="Calibri Light"/>
        <family val="2"/>
      </rPr>
      <t xml:space="preserve"> para </t>
    </r>
    <r>
      <rPr>
        <i/>
        <sz val="11"/>
        <color theme="0"/>
        <rFont val="Calibri Light"/>
        <family val="2"/>
      </rPr>
      <t>m</t>
    </r>
    <r>
      <rPr>
        <sz val="11"/>
        <color theme="0"/>
        <rFont val="Calibri Light"/>
        <family val="2"/>
      </rPr>
      <t xml:space="preserve"> = 1</t>
    </r>
  </si>
  <si>
    <r>
      <t>Ap</t>
    </r>
    <r>
      <rPr>
        <i/>
        <vertAlign val="subscript"/>
        <sz val="11"/>
        <color theme="0"/>
        <rFont val="Calibri Light"/>
        <family val="2"/>
      </rPr>
      <t>jm</t>
    </r>
  </si>
  <si>
    <r>
      <t xml:space="preserve">Totais por área </t>
    </r>
    <r>
      <rPr>
        <i/>
        <sz val="11"/>
        <color theme="0"/>
        <rFont val="Calibri Light"/>
        <family val="2"/>
      </rPr>
      <t>m</t>
    </r>
    <r>
      <rPr>
        <sz val="11"/>
        <color theme="0"/>
        <rFont val="Calibri Light"/>
        <family val="2"/>
      </rPr>
      <t xml:space="preserve"> =  </t>
    </r>
  </si>
  <si>
    <r>
      <t>Dpca</t>
    </r>
    <r>
      <rPr>
        <i/>
        <vertAlign val="subscript"/>
        <sz val="11"/>
        <color theme="0"/>
        <rFont val="Calibri Light"/>
        <family val="2"/>
      </rPr>
      <t>j</t>
    </r>
  </si>
  <si>
    <r>
      <t xml:space="preserve">* Tendo como base colônias de </t>
    </r>
    <r>
      <rPr>
        <i/>
        <sz val="11"/>
        <color theme="1"/>
        <rFont val="Calibri Light"/>
        <family val="2"/>
      </rPr>
      <t>Apis mellifera</t>
    </r>
    <r>
      <rPr>
        <sz val="11"/>
        <color theme="1"/>
        <rFont val="Calibri Light"/>
        <family val="2"/>
      </rPr>
      <t xml:space="preserve"> com 50.000 indivíduos</t>
    </r>
  </si>
  <si>
    <r>
      <t>Ap</t>
    </r>
    <r>
      <rPr>
        <i/>
        <vertAlign val="subscript"/>
        <sz val="11"/>
        <color theme="0"/>
        <rFont val="Calibri Light"/>
        <family val="2"/>
      </rPr>
      <t xml:space="preserve">jmn </t>
    </r>
    <r>
      <rPr>
        <sz val="11"/>
        <color theme="0"/>
        <rFont val="Calibri Light"/>
        <family val="2"/>
      </rPr>
      <t xml:space="preserve">(polinizadores da área </t>
    </r>
    <r>
      <rPr>
        <i/>
        <sz val="11"/>
        <color theme="0"/>
        <rFont val="Calibri Light"/>
        <family val="2"/>
      </rPr>
      <t>m</t>
    </r>
    <r>
      <rPr>
        <sz val="11"/>
        <color theme="0"/>
        <rFont val="Calibri Light"/>
        <family val="2"/>
      </rPr>
      <t xml:space="preserve"> que chegam até a área </t>
    </r>
    <r>
      <rPr>
        <i/>
        <sz val="11"/>
        <color theme="0"/>
        <rFont val="Calibri Light"/>
        <family val="2"/>
      </rPr>
      <t>n</t>
    </r>
    <r>
      <rPr>
        <sz val="11"/>
        <color theme="0"/>
        <rFont val="Calibri Light"/>
        <family val="2"/>
      </rPr>
      <t>)</t>
    </r>
  </si>
  <si>
    <r>
      <t xml:space="preserve">In: </t>
    </r>
    <r>
      <rPr>
        <i/>
        <sz val="11"/>
        <color theme="1"/>
        <rFont val="Calibri Light"/>
        <family val="2"/>
      </rPr>
      <t>Non forest products</t>
    </r>
    <r>
      <rPr>
        <sz val="11"/>
        <color theme="1"/>
        <rFont val="Calibri Light"/>
        <family val="2"/>
      </rPr>
      <t xml:space="preserve"> 19. FAO</t>
    </r>
  </si>
  <si>
    <r>
      <t>Ap</t>
    </r>
    <r>
      <rPr>
        <i/>
        <vertAlign val="subscript"/>
        <sz val="11"/>
        <color theme="0"/>
        <rFont val="Calibri Light"/>
        <family val="2"/>
      </rPr>
      <t>n</t>
    </r>
  </si>
  <si>
    <r>
      <t xml:space="preserve">Fisionomias de cerrado tipo compo sujo, campo cerrado e cerrado </t>
    </r>
    <r>
      <rPr>
        <i/>
        <sz val="11"/>
        <color theme="1"/>
        <rFont val="Calibri Light"/>
        <family val="2"/>
      </rPr>
      <t>sensu-strictu</t>
    </r>
    <r>
      <rPr>
        <sz val="11"/>
        <color theme="1"/>
        <rFont val="Calibri Light"/>
        <family val="2"/>
      </rPr>
      <t>, onde predominam vegetação herbácea mas há componente lenhoso significativo. A fisionomia campo limpo deve ser enquadrada como campo (ver acima), enquanto que a fisionomia cerradão deve ser enquadrada como floresta (ver acima), de acordo com seu estágio de desenvolvimento.</t>
    </r>
  </si>
  <si>
    <r>
      <t>Pca</t>
    </r>
    <r>
      <rPr>
        <i/>
        <vertAlign val="subscript"/>
        <sz val="11"/>
        <color theme="0"/>
        <rFont val="Calibri Light"/>
        <family val="2"/>
      </rPr>
      <t>j</t>
    </r>
  </si>
  <si>
    <r>
      <t>Pca</t>
    </r>
    <r>
      <rPr>
        <i/>
        <vertAlign val="subscript"/>
        <sz val="11"/>
        <color theme="0"/>
        <rFont val="Calibri Light"/>
        <family val="2"/>
      </rPr>
      <t xml:space="preserve">j </t>
    </r>
    <r>
      <rPr>
        <sz val="11"/>
        <color theme="0"/>
        <rFont val="Calibri Light"/>
        <family val="2"/>
      </rPr>
      <t>corrigido</t>
    </r>
  </si>
  <si>
    <r>
      <t>d</t>
    </r>
    <r>
      <rPr>
        <b/>
        <vertAlign val="subscript"/>
        <sz val="11"/>
        <color theme="1"/>
        <rFont val="Calibri Light"/>
        <family val="2"/>
      </rPr>
      <t>mn</t>
    </r>
    <r>
      <rPr>
        <b/>
        <sz val="11"/>
        <color theme="1"/>
        <rFont val="Calibri Light"/>
        <family val="2"/>
      </rPr>
      <t xml:space="preserve"> = </t>
    </r>
    <r>
      <rPr>
        <sz val="11"/>
        <color theme="1"/>
        <rFont val="Calibri Light"/>
        <family val="2"/>
      </rPr>
      <t xml:space="preserve">Distância para 
área </t>
    </r>
    <r>
      <rPr>
        <i/>
        <sz val="11"/>
        <color theme="1"/>
        <rFont val="Calibri Light"/>
        <family val="2"/>
      </rPr>
      <t>n (Km)</t>
    </r>
  </si>
  <si>
    <r>
      <t>LS</t>
    </r>
    <r>
      <rPr>
        <i/>
        <vertAlign val="subscript"/>
        <sz val="11"/>
        <color theme="1"/>
        <rFont val="Calibri Light"/>
        <family val="2"/>
      </rPr>
      <t>a</t>
    </r>
    <r>
      <rPr>
        <sz val="11"/>
        <color theme="1"/>
        <rFont val="Calibri Light"/>
        <family val="2"/>
      </rPr>
      <t xml:space="preserve"> = fator de comprimento de rampa na área </t>
    </r>
    <r>
      <rPr>
        <i/>
        <sz val="11"/>
        <color theme="1"/>
        <rFont val="Calibri Light"/>
        <family val="2"/>
      </rPr>
      <t>a</t>
    </r>
  </si>
  <si>
    <r>
      <t>N</t>
    </r>
    <r>
      <rPr>
        <i/>
        <vertAlign val="subscript"/>
        <sz val="11"/>
        <rFont val="Calibri Light"/>
        <family val="2"/>
      </rPr>
      <t>s</t>
    </r>
    <r>
      <rPr>
        <i/>
        <sz val="11"/>
        <rFont val="Calibri Light"/>
        <family val="2"/>
      </rPr>
      <t xml:space="preserve"> </t>
    </r>
    <r>
      <rPr>
        <sz val="11"/>
        <rFont val="Calibri Light"/>
        <family val="2"/>
      </rPr>
      <t>= concentração de nutrientes do solo</t>
    </r>
  </si>
  <si>
    <r>
      <t>A</t>
    </r>
    <r>
      <rPr>
        <i/>
        <vertAlign val="subscript"/>
        <sz val="11"/>
        <color theme="1"/>
        <rFont val="Calibri Light"/>
        <family val="2"/>
      </rPr>
      <t>a</t>
    </r>
  </si>
  <si>
    <r>
      <t>R</t>
    </r>
    <r>
      <rPr>
        <i/>
        <vertAlign val="subscript"/>
        <sz val="11"/>
        <color theme="1"/>
        <rFont val="Calibri Light"/>
        <family val="2"/>
      </rPr>
      <t>a</t>
    </r>
  </si>
  <si>
    <r>
      <t>K</t>
    </r>
    <r>
      <rPr>
        <i/>
        <vertAlign val="subscript"/>
        <sz val="11"/>
        <color theme="1"/>
        <rFont val="Calibri Light"/>
        <family val="2"/>
      </rPr>
      <t>a</t>
    </r>
  </si>
  <si>
    <r>
      <t>LS</t>
    </r>
    <r>
      <rPr>
        <i/>
        <vertAlign val="subscript"/>
        <sz val="11"/>
        <color theme="1"/>
        <rFont val="Calibri Light"/>
        <family val="2"/>
      </rPr>
      <t>a</t>
    </r>
  </si>
  <si>
    <r>
      <t>CP</t>
    </r>
    <r>
      <rPr>
        <i/>
        <vertAlign val="subscript"/>
        <sz val="11"/>
        <rFont val="Calibri Light"/>
        <family val="2"/>
      </rPr>
      <t>min</t>
    </r>
  </si>
  <si>
    <r>
      <rPr>
        <i/>
        <sz val="11"/>
        <color theme="1"/>
        <rFont val="Calibri Light"/>
        <family val="2"/>
      </rPr>
      <t>Es</t>
    </r>
    <r>
      <rPr>
        <i/>
        <vertAlign val="subscript"/>
        <sz val="11"/>
        <color theme="1"/>
        <rFont val="Calibri Light"/>
        <family val="2"/>
      </rPr>
      <t>areamin</t>
    </r>
    <r>
      <rPr>
        <vertAlign val="subscript"/>
        <sz val="11"/>
        <color theme="1"/>
        <rFont val="Calibri Light"/>
        <family val="2"/>
      </rPr>
      <t xml:space="preserve">  </t>
    </r>
    <r>
      <rPr>
        <sz val="11"/>
        <color theme="1"/>
        <rFont val="Calibri Light"/>
        <family val="2"/>
      </rPr>
      <t>(t.ano)</t>
    </r>
  </si>
  <si>
    <r>
      <t>CP</t>
    </r>
    <r>
      <rPr>
        <i/>
        <vertAlign val="subscript"/>
        <sz val="11"/>
        <rFont val="Calibri Light"/>
        <family val="2"/>
      </rPr>
      <t>max</t>
    </r>
  </si>
  <si>
    <r>
      <rPr>
        <i/>
        <sz val="11"/>
        <color theme="1"/>
        <rFont val="Calibri Light"/>
        <family val="2"/>
      </rPr>
      <t>Es</t>
    </r>
    <r>
      <rPr>
        <i/>
        <vertAlign val="subscript"/>
        <sz val="11"/>
        <color theme="1"/>
        <rFont val="Calibri Light"/>
        <family val="2"/>
      </rPr>
      <t>areamax</t>
    </r>
    <r>
      <rPr>
        <vertAlign val="subscript"/>
        <sz val="11"/>
        <color theme="1"/>
        <rFont val="Calibri Light"/>
        <family val="2"/>
      </rPr>
      <t xml:space="preserve"> </t>
    </r>
    <r>
      <rPr>
        <sz val="11"/>
        <color theme="1"/>
        <rFont val="Calibri Light"/>
        <family val="2"/>
      </rPr>
      <t>(t.ano)</t>
    </r>
  </si>
  <si>
    <r>
      <rPr>
        <b/>
        <sz val="11"/>
        <color theme="1"/>
        <rFont val="Calibri Light"/>
        <family val="2"/>
      </rPr>
      <t>Es</t>
    </r>
    <r>
      <rPr>
        <b/>
        <vertAlign val="subscript"/>
        <sz val="11"/>
        <color theme="1"/>
        <rFont val="Calibri Light"/>
        <family val="2"/>
      </rPr>
      <t xml:space="preserve">areamax </t>
    </r>
    <r>
      <rPr>
        <sz val="11"/>
        <color theme="1"/>
        <rFont val="Calibri Light"/>
        <family val="2"/>
      </rPr>
      <t>=</t>
    </r>
    <r>
      <rPr>
        <vertAlign val="subscript"/>
        <sz val="11"/>
        <color theme="1"/>
        <rFont val="Calibri Light"/>
        <family val="2"/>
      </rPr>
      <t xml:space="preserve"> </t>
    </r>
    <r>
      <rPr>
        <sz val="11"/>
        <color theme="1"/>
        <rFont val="Calibri Light"/>
        <family val="2"/>
      </rPr>
      <t>Erosão do solo em condição de solo exposto</t>
    </r>
  </si>
  <si>
    <r>
      <rPr>
        <b/>
        <sz val="11"/>
        <color theme="1"/>
        <rFont val="Calibri Light"/>
        <family val="2"/>
      </rPr>
      <t>Es</t>
    </r>
    <r>
      <rPr>
        <b/>
        <vertAlign val="subscript"/>
        <sz val="11"/>
        <color theme="1"/>
        <rFont val="Calibri Light"/>
        <family val="2"/>
      </rPr>
      <t xml:space="preserve">areamin </t>
    </r>
    <r>
      <rPr>
        <sz val="11"/>
        <color theme="1"/>
        <rFont val="Calibri Light"/>
        <family val="2"/>
      </rPr>
      <t xml:space="preserve">= Erosão do solo em condição de solo coberto por vegetação nativa </t>
    </r>
  </si>
  <si>
    <r>
      <rPr>
        <b/>
        <i/>
        <sz val="11"/>
        <rFont val="Calibri Light"/>
        <family val="2"/>
      </rPr>
      <t>$N</t>
    </r>
    <r>
      <rPr>
        <b/>
        <i/>
        <vertAlign val="subscript"/>
        <sz val="11"/>
        <rFont val="Calibri Light"/>
        <family val="2"/>
      </rPr>
      <t>s</t>
    </r>
    <r>
      <rPr>
        <b/>
        <sz val="11"/>
        <rFont val="Calibri Light"/>
        <family val="2"/>
      </rPr>
      <t xml:space="preserve"> </t>
    </r>
    <r>
      <rPr>
        <sz val="11"/>
        <rFont val="Calibri Light"/>
        <family val="2"/>
      </rPr>
      <t>= custo dos nutrientes do solo</t>
    </r>
  </si>
  <si>
    <r>
      <rPr>
        <b/>
        <sz val="11"/>
        <color theme="1"/>
        <rFont val="Calibri Light"/>
        <family val="2"/>
      </rPr>
      <t>$</t>
    </r>
    <r>
      <rPr>
        <b/>
        <i/>
        <sz val="11"/>
        <color theme="1"/>
        <rFont val="Calibri Light"/>
        <family val="2"/>
      </rPr>
      <t>log</t>
    </r>
    <r>
      <rPr>
        <sz val="11"/>
        <color theme="1"/>
        <rFont val="Calibri Light"/>
        <family val="2"/>
      </rPr>
      <t xml:space="preserve"> = custos com logística para a aplicação dos nutrientes no solo</t>
    </r>
  </si>
  <si>
    <r>
      <t>CP</t>
    </r>
    <r>
      <rPr>
        <i/>
        <vertAlign val="subscript"/>
        <sz val="11"/>
        <color theme="1"/>
        <rFont val="Calibri Light"/>
        <family val="2"/>
      </rPr>
      <t>atual</t>
    </r>
  </si>
  <si>
    <r>
      <t>Es</t>
    </r>
    <r>
      <rPr>
        <vertAlign val="subscript"/>
        <sz val="11"/>
        <color theme="1"/>
        <rFont val="Calibri Light"/>
        <family val="2"/>
      </rPr>
      <t xml:space="preserve">areaatual </t>
    </r>
    <r>
      <rPr>
        <sz val="11"/>
        <color theme="1"/>
        <rFont val="Calibri Light"/>
        <family val="2"/>
      </rPr>
      <t>(t.ano)</t>
    </r>
  </si>
  <si>
    <r>
      <rPr>
        <b/>
        <i/>
        <sz val="11"/>
        <rFont val="Calibri Light"/>
        <family val="2"/>
      </rPr>
      <t>$N</t>
    </r>
    <r>
      <rPr>
        <b/>
        <i/>
        <vertAlign val="subscript"/>
        <sz val="11"/>
        <rFont val="Calibri Light"/>
        <family val="2"/>
      </rPr>
      <t>s</t>
    </r>
    <r>
      <rPr>
        <sz val="11"/>
        <rFont val="Calibri Light"/>
        <family val="2"/>
      </rPr>
      <t xml:space="preserve"> = custo dos nutrientes do solo</t>
    </r>
  </si>
  <si>
    <r>
      <t>Dif</t>
    </r>
    <r>
      <rPr>
        <i/>
        <vertAlign val="subscript"/>
        <sz val="11"/>
        <rFont val="Calibri Light"/>
        <family val="2"/>
      </rPr>
      <t>alt</t>
    </r>
    <r>
      <rPr>
        <i/>
        <sz val="11"/>
        <rFont val="Calibri Light"/>
        <family val="2"/>
      </rPr>
      <t xml:space="preserve"> </t>
    </r>
    <r>
      <rPr>
        <sz val="11"/>
        <rFont val="Calibri Light"/>
        <family val="2"/>
      </rPr>
      <t xml:space="preserve">= diferença entre a máxima e a mínima altitudes na área à montante, </t>
    </r>
  </si>
  <si>
    <r>
      <t>C</t>
    </r>
    <r>
      <rPr>
        <i/>
        <vertAlign val="subscript"/>
        <sz val="11"/>
        <rFont val="Calibri Light"/>
        <family val="2"/>
      </rPr>
      <t>cap</t>
    </r>
    <r>
      <rPr>
        <i/>
        <sz val="11"/>
        <rFont val="Calibri Light"/>
        <family val="2"/>
      </rPr>
      <t xml:space="preserve"> </t>
    </r>
    <r>
      <rPr>
        <sz val="11"/>
        <rFont val="Calibri Light"/>
        <family val="2"/>
      </rPr>
      <t>= comprimento do principal curso d’água na área</t>
    </r>
  </si>
  <si>
    <r>
      <t>Q</t>
    </r>
    <r>
      <rPr>
        <i/>
        <vertAlign val="subscript"/>
        <sz val="11"/>
        <rFont val="Calibri Light"/>
        <family val="2"/>
      </rPr>
      <t>mlt</t>
    </r>
    <r>
      <rPr>
        <i/>
        <sz val="11"/>
        <rFont val="Calibri Light"/>
        <family val="2"/>
      </rPr>
      <t xml:space="preserve"> </t>
    </r>
    <r>
      <rPr>
        <sz val="11"/>
        <rFont val="Calibri Light"/>
        <family val="2"/>
      </rPr>
      <t>= vazão média de longo termo do curso d’água</t>
    </r>
  </si>
  <si>
    <r>
      <t xml:space="preserve"> m</t>
    </r>
    <r>
      <rPr>
        <vertAlign val="superscript"/>
        <sz val="11"/>
        <rFont val="Calibri Light"/>
        <family val="2"/>
      </rPr>
      <t>3</t>
    </r>
  </si>
  <si>
    <r>
      <t xml:space="preserve">TAS = </t>
    </r>
    <r>
      <rPr>
        <sz val="11"/>
        <rFont val="Calibri Light"/>
        <family val="2"/>
      </rPr>
      <t xml:space="preserve">taxa de aporte de sedimentos </t>
    </r>
  </si>
  <si>
    <r>
      <rPr>
        <i/>
        <sz val="11"/>
        <rFont val="Calibri Light"/>
        <family val="2"/>
      </rPr>
      <t>Es</t>
    </r>
    <r>
      <rPr>
        <i/>
        <vertAlign val="subscript"/>
        <sz val="11"/>
        <rFont val="Calibri Light"/>
        <family val="2"/>
      </rPr>
      <t>mmax</t>
    </r>
    <r>
      <rPr>
        <vertAlign val="subscript"/>
        <sz val="11"/>
        <rFont val="Calibri Light"/>
        <family val="2"/>
      </rPr>
      <t xml:space="preserve"> </t>
    </r>
    <r>
      <rPr>
        <sz val="11"/>
        <rFont val="Calibri Light"/>
        <family val="2"/>
      </rPr>
      <t>(t.ano)</t>
    </r>
  </si>
  <si>
    <r>
      <rPr>
        <i/>
        <sz val="11"/>
        <color theme="1"/>
        <rFont val="Calibri Light"/>
        <family val="2"/>
      </rPr>
      <t>Es</t>
    </r>
    <r>
      <rPr>
        <i/>
        <vertAlign val="subscript"/>
        <sz val="11"/>
        <color theme="1"/>
        <rFont val="Calibri Light"/>
        <family val="2"/>
      </rPr>
      <t>mmin</t>
    </r>
    <r>
      <rPr>
        <vertAlign val="subscript"/>
        <sz val="11"/>
        <color theme="1"/>
        <rFont val="Calibri Light"/>
        <family val="2"/>
      </rPr>
      <t xml:space="preserve"> </t>
    </r>
    <r>
      <rPr>
        <sz val="11"/>
        <color theme="1"/>
        <rFont val="Calibri Light"/>
        <family val="2"/>
      </rPr>
      <t>(t.ano)</t>
    </r>
  </si>
  <si>
    <r>
      <rPr>
        <b/>
        <sz val="11"/>
        <color theme="1"/>
        <rFont val="Calibri Light"/>
        <family val="2"/>
      </rPr>
      <t>Es</t>
    </r>
    <r>
      <rPr>
        <b/>
        <vertAlign val="subscript"/>
        <sz val="11"/>
        <color theme="1"/>
        <rFont val="Calibri Light"/>
        <family val="2"/>
      </rPr>
      <t xml:space="preserve">mmax </t>
    </r>
    <r>
      <rPr>
        <sz val="11"/>
        <color theme="1"/>
        <rFont val="Calibri Light"/>
        <family val="2"/>
      </rPr>
      <t>= erosão do solo na condição de solo exposto à montante</t>
    </r>
  </si>
  <si>
    <r>
      <rPr>
        <b/>
        <sz val="11"/>
        <color theme="1"/>
        <rFont val="Calibri Light"/>
        <family val="2"/>
      </rPr>
      <t>Es</t>
    </r>
    <r>
      <rPr>
        <b/>
        <vertAlign val="subscript"/>
        <sz val="11"/>
        <color theme="1"/>
        <rFont val="Calibri Light"/>
        <family val="2"/>
      </rPr>
      <t xml:space="preserve">mmin </t>
    </r>
    <r>
      <rPr>
        <sz val="11"/>
        <color theme="1"/>
        <rFont val="Calibri Light"/>
        <family val="2"/>
      </rPr>
      <t>= erosão do solo na condição de solo coberto por vegetação nativa original da região nas áreas à montante</t>
    </r>
  </si>
  <si>
    <r>
      <t>$T</t>
    </r>
    <r>
      <rPr>
        <i/>
        <vertAlign val="subscript"/>
        <sz val="11"/>
        <color theme="1"/>
        <rFont val="Calibri Light"/>
        <family val="2"/>
      </rPr>
      <t>a</t>
    </r>
    <r>
      <rPr>
        <sz val="11"/>
        <color theme="1"/>
        <rFont val="Calibri Light"/>
        <family val="2"/>
      </rPr>
      <t xml:space="preserve"> = custo do tratamento da água para remover </t>
    </r>
    <r>
      <rPr>
        <i/>
        <sz val="11"/>
        <color theme="1"/>
        <rFont val="Calibri Light"/>
        <family val="2"/>
      </rPr>
      <t>T</t>
    </r>
    <r>
      <rPr>
        <i/>
        <vertAlign val="subscript"/>
        <sz val="11"/>
        <color theme="1"/>
        <rFont val="Calibri Light"/>
        <family val="2"/>
      </rPr>
      <t>ca</t>
    </r>
    <r>
      <rPr>
        <sz val="11"/>
        <color theme="1"/>
        <rFont val="Calibri Light"/>
        <family val="2"/>
      </rPr>
      <t xml:space="preserve"> até nível aceitável para a empresa</t>
    </r>
  </si>
  <si>
    <r>
      <t>I</t>
    </r>
    <r>
      <rPr>
        <i/>
        <vertAlign val="subscript"/>
        <sz val="11"/>
        <color theme="1"/>
        <rFont val="Calibri Light"/>
        <family val="2"/>
      </rPr>
      <t>eta</t>
    </r>
    <r>
      <rPr>
        <sz val="11"/>
        <color theme="1"/>
        <rFont val="Calibri Light"/>
        <family val="2"/>
      </rPr>
      <t xml:space="preserve"> = investimento necessário em estação de tratamento da água</t>
    </r>
  </si>
  <si>
    <r>
      <t>CP</t>
    </r>
    <r>
      <rPr>
        <i/>
        <vertAlign val="subscript"/>
        <sz val="11"/>
        <rFont val="Calibri Light"/>
        <family val="2"/>
      </rPr>
      <t>atual</t>
    </r>
  </si>
  <si>
    <r>
      <rPr>
        <i/>
        <sz val="11"/>
        <color theme="1"/>
        <rFont val="Calibri Light"/>
        <family val="2"/>
      </rPr>
      <t>Es</t>
    </r>
    <r>
      <rPr>
        <i/>
        <vertAlign val="subscript"/>
        <sz val="11"/>
        <color theme="1"/>
        <rFont val="Calibri Light"/>
        <family val="2"/>
      </rPr>
      <t>matual</t>
    </r>
    <r>
      <rPr>
        <vertAlign val="subscript"/>
        <sz val="11"/>
        <color theme="1"/>
        <rFont val="Calibri Light"/>
        <family val="2"/>
      </rPr>
      <t xml:space="preserve"> </t>
    </r>
    <r>
      <rPr>
        <sz val="11"/>
        <color theme="1"/>
        <rFont val="Calibri Light"/>
        <family val="2"/>
      </rPr>
      <t>(t.ano)</t>
    </r>
  </si>
  <si>
    <r>
      <rPr>
        <b/>
        <sz val="11"/>
        <color theme="1"/>
        <rFont val="Calibri Light"/>
        <family val="2"/>
      </rPr>
      <t>Es</t>
    </r>
    <r>
      <rPr>
        <b/>
        <vertAlign val="subscript"/>
        <sz val="11"/>
        <color theme="1"/>
        <rFont val="Calibri Light"/>
        <family val="2"/>
      </rPr>
      <t xml:space="preserve">matual </t>
    </r>
    <r>
      <rPr>
        <sz val="11"/>
        <color theme="1"/>
        <rFont val="Calibri Light"/>
        <family val="2"/>
      </rPr>
      <t>= erosão do solo na condição de usos do solo atuais nas áreas à montante</t>
    </r>
  </si>
  <si>
    <r>
      <rPr>
        <i/>
        <sz val="11"/>
        <color theme="1"/>
        <rFont val="Calibri Light"/>
        <family val="2"/>
      </rPr>
      <t>Es</t>
    </r>
    <r>
      <rPr>
        <i/>
        <vertAlign val="subscript"/>
        <sz val="11"/>
        <color theme="1"/>
        <rFont val="Calibri Light"/>
        <family val="2"/>
      </rPr>
      <t>areaatual</t>
    </r>
    <r>
      <rPr>
        <vertAlign val="subscript"/>
        <sz val="11"/>
        <color theme="1"/>
        <rFont val="Calibri Light"/>
        <family val="2"/>
      </rPr>
      <t xml:space="preserve"> </t>
    </r>
    <r>
      <rPr>
        <sz val="11"/>
        <color theme="1"/>
        <rFont val="Calibri Light"/>
        <family val="2"/>
      </rPr>
      <t>(t.ano)</t>
    </r>
  </si>
  <si>
    <r>
      <rPr>
        <i/>
        <sz val="11"/>
        <color theme="1"/>
        <rFont val="Calibri Light"/>
        <family val="2"/>
      </rPr>
      <t>Es</t>
    </r>
    <r>
      <rPr>
        <i/>
        <vertAlign val="subscript"/>
        <sz val="11"/>
        <color theme="1"/>
        <rFont val="Calibri Light"/>
        <family val="2"/>
      </rPr>
      <t>areamin</t>
    </r>
    <r>
      <rPr>
        <vertAlign val="subscript"/>
        <sz val="11"/>
        <color theme="1"/>
        <rFont val="Calibri Light"/>
        <family val="2"/>
      </rPr>
      <t xml:space="preserve"> </t>
    </r>
    <r>
      <rPr>
        <sz val="11"/>
        <color theme="1"/>
        <rFont val="Calibri Light"/>
        <family val="2"/>
      </rPr>
      <t>(t.ano)</t>
    </r>
  </si>
  <si>
    <r>
      <rPr>
        <b/>
        <sz val="11"/>
        <color theme="1"/>
        <rFont val="Calibri Light"/>
        <family val="2"/>
      </rPr>
      <t>Es</t>
    </r>
    <r>
      <rPr>
        <b/>
        <vertAlign val="subscript"/>
        <sz val="11"/>
        <color theme="1"/>
        <rFont val="Calibri Light"/>
        <family val="2"/>
      </rPr>
      <t xml:space="preserve">areaatual </t>
    </r>
    <r>
      <rPr>
        <sz val="11"/>
        <color theme="1"/>
        <rFont val="Calibri Light"/>
        <family val="2"/>
      </rPr>
      <t>= erosão do solo na condição de usos do solo atuais nas áreas da empresa</t>
    </r>
  </si>
  <si>
    <r>
      <rPr>
        <b/>
        <sz val="11"/>
        <color theme="1"/>
        <rFont val="Calibri Light"/>
        <family val="2"/>
      </rPr>
      <t>Es</t>
    </r>
    <r>
      <rPr>
        <b/>
        <vertAlign val="subscript"/>
        <sz val="11"/>
        <color theme="1"/>
        <rFont val="Calibri Light"/>
        <family val="2"/>
      </rPr>
      <t xml:space="preserve">areamin </t>
    </r>
    <r>
      <rPr>
        <sz val="11"/>
        <color theme="1"/>
        <rFont val="Calibri Light"/>
        <family val="2"/>
      </rPr>
      <t>= erosão do solo na condição de solo coberto por vegetação nativa original da região nas áreas da empresa</t>
    </r>
  </si>
  <si>
    <r>
      <t>mg/dm</t>
    </r>
    <r>
      <rPr>
        <vertAlign val="superscript"/>
        <sz val="11"/>
        <rFont val="Calibri Light"/>
        <family val="2"/>
      </rPr>
      <t>3</t>
    </r>
  </si>
  <si>
    <r>
      <t>mmol/dm</t>
    </r>
    <r>
      <rPr>
        <vertAlign val="superscript"/>
        <sz val="11"/>
        <rFont val="Calibri Light"/>
        <family val="2"/>
      </rPr>
      <t>3</t>
    </r>
  </si>
  <si>
    <r>
      <rPr>
        <b/>
        <i/>
        <sz val="11"/>
        <color theme="1"/>
        <rFont val="Calibri Light"/>
        <family val="2"/>
      </rPr>
      <t>Nv</t>
    </r>
    <r>
      <rPr>
        <b/>
        <sz val="11"/>
        <color theme="1"/>
        <rFont val="Calibri Light"/>
        <family val="2"/>
      </rPr>
      <t xml:space="preserve"> </t>
    </r>
    <r>
      <rPr>
        <sz val="11"/>
        <color theme="1"/>
        <rFont val="Calibri Light"/>
        <family val="2"/>
      </rPr>
      <t>= número de visitantes que a área recebe</t>
    </r>
  </si>
  <si>
    <r>
      <rPr>
        <b/>
        <i/>
        <sz val="11"/>
        <rFont val="Calibri Light"/>
        <family val="2"/>
      </rPr>
      <t>P</t>
    </r>
    <r>
      <rPr>
        <sz val="11"/>
        <rFont val="Calibri Light"/>
        <family val="2"/>
      </rPr>
      <t xml:space="preserve"> = período considerado na contabilização de visitantes</t>
    </r>
  </si>
  <si>
    <r>
      <rPr>
        <b/>
        <i/>
        <sz val="11"/>
        <color theme="1"/>
        <rFont val="Calibri Light"/>
        <family val="2"/>
      </rPr>
      <t>A</t>
    </r>
    <r>
      <rPr>
        <b/>
        <i/>
        <vertAlign val="subscript"/>
        <sz val="11"/>
        <color theme="1"/>
        <rFont val="Calibri Light"/>
        <family val="2"/>
      </rPr>
      <t>t</t>
    </r>
    <r>
      <rPr>
        <b/>
        <sz val="11"/>
        <color theme="1"/>
        <rFont val="Calibri Light"/>
        <family val="2"/>
      </rPr>
      <t xml:space="preserve"> </t>
    </r>
    <r>
      <rPr>
        <sz val="11"/>
        <color theme="1"/>
        <rFont val="Calibri Light"/>
        <family val="2"/>
      </rPr>
      <t>= área total conservada pela empresa</t>
    </r>
  </si>
  <si>
    <r>
      <rPr>
        <b/>
        <i/>
        <sz val="11"/>
        <rFont val="Calibri Light"/>
        <family val="2"/>
      </rPr>
      <t>Ai</t>
    </r>
    <r>
      <rPr>
        <b/>
        <i/>
        <vertAlign val="subscript"/>
        <sz val="11"/>
        <rFont val="Calibri Light"/>
        <family val="2"/>
      </rPr>
      <t>ae</t>
    </r>
    <r>
      <rPr>
        <b/>
        <sz val="11"/>
        <rFont val="Calibri Light"/>
        <family val="2"/>
      </rPr>
      <t xml:space="preserve"> </t>
    </r>
    <r>
      <rPr>
        <sz val="11"/>
        <rFont val="Calibri Light"/>
        <family val="2"/>
      </rPr>
      <t>= parcela da área conservada pela empresa, mas indisponível para uso econômico alternativo</t>
    </r>
  </si>
  <si>
    <r>
      <rPr>
        <b/>
        <i/>
        <sz val="11"/>
        <color theme="1"/>
        <rFont val="Calibri Light"/>
        <family val="2"/>
      </rPr>
      <t>$RDv</t>
    </r>
    <r>
      <rPr>
        <b/>
        <sz val="11"/>
        <color theme="1"/>
        <rFont val="Calibri Light"/>
        <family val="2"/>
      </rPr>
      <t xml:space="preserve"> </t>
    </r>
    <r>
      <rPr>
        <sz val="11"/>
        <color theme="1"/>
        <rFont val="Calibri Light"/>
        <family val="2"/>
      </rPr>
      <t>= receitas diversas decorrentes da exploração do turismo</t>
    </r>
  </si>
  <si>
    <r>
      <rPr>
        <b/>
        <i/>
        <sz val="11"/>
        <color theme="1"/>
        <rFont val="Calibri Light"/>
        <family val="2"/>
      </rPr>
      <t>$Rae</t>
    </r>
    <r>
      <rPr>
        <b/>
        <i/>
        <vertAlign val="subscript"/>
        <sz val="11"/>
        <color theme="1"/>
        <rFont val="Calibri Light"/>
        <family val="2"/>
      </rPr>
      <t>alt</t>
    </r>
    <r>
      <rPr>
        <i/>
        <sz val="11"/>
        <color theme="1"/>
        <rFont val="Calibri Light"/>
        <family val="2"/>
      </rPr>
      <t xml:space="preserve"> = </t>
    </r>
    <r>
      <rPr>
        <sz val="11"/>
        <color theme="1"/>
        <rFont val="Calibri Light"/>
        <family val="2"/>
      </rPr>
      <t>receitas da atividade econômica alternativa</t>
    </r>
  </si>
  <si>
    <r>
      <rPr>
        <b/>
        <i/>
        <sz val="11"/>
        <color theme="1"/>
        <rFont val="Calibri Light"/>
        <family val="2"/>
      </rPr>
      <t>$T</t>
    </r>
    <r>
      <rPr>
        <b/>
        <i/>
        <vertAlign val="subscript"/>
        <sz val="11"/>
        <color theme="1"/>
        <rFont val="Calibri Light"/>
        <family val="2"/>
      </rPr>
      <t>i</t>
    </r>
    <r>
      <rPr>
        <sz val="11"/>
        <color theme="1"/>
        <rFont val="Calibri Light"/>
        <family val="2"/>
      </rPr>
      <t xml:space="preserve"> = taxa de ingresso ou similares</t>
    </r>
  </si>
  <si>
    <r>
      <rPr>
        <b/>
        <i/>
        <sz val="11"/>
        <color theme="1"/>
        <rFont val="Calibri Light"/>
        <family val="2"/>
      </rPr>
      <t>$cd</t>
    </r>
    <r>
      <rPr>
        <b/>
        <i/>
        <vertAlign val="subscript"/>
        <sz val="11"/>
        <color theme="1"/>
        <rFont val="Calibri Light"/>
        <family val="2"/>
      </rPr>
      <t>i</t>
    </r>
    <r>
      <rPr>
        <b/>
        <sz val="11"/>
        <color theme="1"/>
        <rFont val="Calibri Light"/>
        <family val="2"/>
      </rPr>
      <t xml:space="preserve"> </t>
    </r>
    <r>
      <rPr>
        <sz val="11"/>
        <color theme="1"/>
        <rFont val="Calibri Light"/>
        <family val="2"/>
      </rPr>
      <t>= custos médio de deslocamento individual para uma área visitada</t>
    </r>
  </si>
  <si>
    <r>
      <rPr>
        <b/>
        <i/>
        <sz val="11"/>
        <color theme="1"/>
        <rFont val="Calibri Light"/>
        <family val="2"/>
      </rPr>
      <t>$cae</t>
    </r>
    <r>
      <rPr>
        <b/>
        <i/>
        <vertAlign val="subscript"/>
        <sz val="11"/>
        <color theme="1"/>
        <rFont val="Calibri Light"/>
        <family val="2"/>
      </rPr>
      <t>i</t>
    </r>
    <r>
      <rPr>
        <sz val="11"/>
        <color theme="1"/>
        <rFont val="Calibri Light"/>
        <family val="2"/>
      </rPr>
      <t xml:space="preserve"> = custos médios individuais com alimentação e estadia durante a viagem</t>
    </r>
  </si>
  <si>
    <r>
      <t>EBc</t>
    </r>
    <r>
      <rPr>
        <b/>
        <vertAlign val="subscript"/>
        <sz val="11"/>
        <color rgb="FF000000"/>
        <rFont val="Calibri Light"/>
        <family val="2"/>
      </rPr>
      <t>mut</t>
    </r>
    <r>
      <rPr>
        <b/>
        <sz val="11"/>
        <color theme="1"/>
        <rFont val="Calibri Light"/>
        <family val="2"/>
      </rPr>
      <t xml:space="preserve"> </t>
    </r>
  </si>
  <si>
    <r>
      <t>EBc</t>
    </r>
    <r>
      <rPr>
        <b/>
        <vertAlign val="subscript"/>
        <sz val="11"/>
        <color theme="1"/>
        <rFont val="Calibri Light"/>
        <family val="2"/>
      </rPr>
      <t>af</t>
    </r>
    <r>
      <rPr>
        <b/>
        <sz val="11"/>
        <color theme="1"/>
        <rFont val="Calibri Light"/>
        <family val="2"/>
      </rPr>
      <t xml:space="preserve"> </t>
    </r>
  </si>
  <si>
    <r>
      <t>BCO</t>
    </r>
    <r>
      <rPr>
        <b/>
        <vertAlign val="subscript"/>
        <sz val="11"/>
        <rFont val="Calibri Light"/>
        <family val="2"/>
      </rPr>
      <t>2</t>
    </r>
    <r>
      <rPr>
        <sz val="11"/>
        <rFont val="Calibri Light"/>
        <family val="2"/>
      </rPr>
      <t>e</t>
    </r>
  </si>
  <si>
    <r>
      <t>E</t>
    </r>
    <r>
      <rPr>
        <b/>
        <vertAlign val="subscript"/>
        <sz val="11"/>
        <rFont val="Calibri Light"/>
        <family val="2"/>
      </rPr>
      <t>ev</t>
    </r>
  </si>
  <si>
    <r>
      <t xml:space="preserve">O Programa Tendências em Serviços Ecossistêmicos (TeSE) tem como motivação ajudar o setor empresarial a entender e dimensionar a importância do capital natural para seus negócios e também para a sociedade através do desenvolvimento de estratégias e ferramentas destinadas à gestão empresarial de impactos, dependências, riscos e oportunidades relacionados a serviços ecossistêmicos. Para auxiliar no cumprimento destes objetivos a TeSE desenvolveu a “Ferramenta de cálculo para quantificação e valoração de serviços ecossistêmicos” (Ferramenta de cálculo da DEVESE). A Ferramenta encontra-se atualmente na versão “Ferramenta v2.0”.
Recomenda-se que o usuário utilize  valores específicos para sua organização. Caso faltem valores específicos, esta ferramenta de cálculo oferece valores </t>
    </r>
    <r>
      <rPr>
        <i/>
        <sz val="11"/>
        <rFont val="Calibri Light"/>
        <family val="2"/>
      </rPr>
      <t>default</t>
    </r>
    <r>
      <rPr>
        <sz val="11"/>
        <rFont val="Calibri Light"/>
        <family val="2"/>
      </rPr>
      <t xml:space="preserve"> baseados em publicações reconhecidas, como IPCC, a Resolução Conama 357/2005, entre outros. Os valores sugeridos, no entanto, são parâmetros gerais e quando utilizados para casos específicos podem não corresponder, necessariamente, à realidade. Além disso, tais valores estão em constante evolução, acompanhando o desenvolvimento das pesquisas. Cabe, então, ao usuário a responsabilidade pela utilização dos mesmos. A utilização de valores específicos para uma organização deve ser claramente informada no relato, tornando-se assim público.
A equipe de desenvolvimento da ferramenta não se responsabiliza por adaptações realizadas por usuários, tampouco, pelos respectivos resultados decorrentes dessas alterações. Da mesma forma, a utilização da ferramenta com as alterações introduzidas pelo usuário deve ser explicitamente informada a terceiros.
A propriedade intelectual, patrimonial e moral desta Ferramenta é única e exclusiva da FGV, sendo o seu uso autorizado nos moldes descritos nesse termo. Portanto, é vedada a sua exploração comercial.
O indivíduo ou empresa que desrespeitar o conteúdo do presente termo estará sujeito à pena de multa no importe de R$10.000,00 (dez mil reais) além de eventuais consequências legais do ato ilícito a que der causa.
Equipe de Coordenação do Programa Tendências em Serviços Ecossistêmicos.</t>
    </r>
  </si>
  <si>
    <r>
      <t>Linha de Base:</t>
    </r>
    <r>
      <rPr>
        <sz val="11"/>
        <rFont val="Calibri Light"/>
        <family val="2"/>
      </rPr>
      <t xml:space="preserve"> area florestal remanescente na ausencia do projeto (ha)</t>
    </r>
  </si>
  <si>
    <r>
      <t>m</t>
    </r>
    <r>
      <rPr>
        <vertAlign val="superscript"/>
        <sz val="11"/>
        <color theme="1"/>
        <rFont val="Calibri Light"/>
        <family val="2"/>
      </rPr>
      <t>3</t>
    </r>
  </si>
  <si>
    <r>
      <t>m</t>
    </r>
    <r>
      <rPr>
        <vertAlign val="superscript"/>
        <sz val="11"/>
        <color theme="1"/>
        <rFont val="Calibri Light"/>
        <family val="2"/>
      </rPr>
      <t xml:space="preserve">3 </t>
    </r>
    <r>
      <rPr>
        <sz val="11"/>
        <color theme="1"/>
        <rFont val="Calibri Light"/>
        <family val="2"/>
      </rPr>
      <t>água/m</t>
    </r>
    <r>
      <rPr>
        <vertAlign val="superscript"/>
        <sz val="11"/>
        <color theme="1"/>
        <rFont val="Calibri Light"/>
        <family val="2"/>
      </rPr>
      <t>3</t>
    </r>
  </si>
  <si>
    <r>
      <t>m</t>
    </r>
    <r>
      <rPr>
        <vertAlign val="superscript"/>
        <sz val="11"/>
        <color theme="1"/>
        <rFont val="Calibri Light"/>
        <family val="2"/>
      </rPr>
      <t>3</t>
    </r>
    <r>
      <rPr>
        <sz val="11"/>
        <color theme="1"/>
        <rFont val="Calibri Light"/>
        <family val="2"/>
      </rPr>
      <t>/litro</t>
    </r>
  </si>
  <si>
    <r>
      <t>m</t>
    </r>
    <r>
      <rPr>
        <vertAlign val="superscript"/>
        <sz val="11"/>
        <color theme="1"/>
        <rFont val="Calibri Light"/>
        <family val="2"/>
      </rPr>
      <t>3</t>
    </r>
    <r>
      <rPr>
        <sz val="11"/>
        <color theme="1"/>
        <rFont val="Calibri Light"/>
        <family val="2"/>
      </rPr>
      <t>/ton</t>
    </r>
  </si>
  <si>
    <r>
      <t>m</t>
    </r>
    <r>
      <rPr>
        <vertAlign val="superscript"/>
        <sz val="11"/>
        <color theme="1"/>
        <rFont val="Calibri Light"/>
        <family val="2"/>
      </rPr>
      <t>3</t>
    </r>
    <r>
      <rPr>
        <sz val="11"/>
        <color theme="1"/>
        <rFont val="Calibri Light"/>
        <family val="2"/>
      </rPr>
      <t>/R$</t>
    </r>
  </si>
  <si>
    <r>
      <t>m</t>
    </r>
    <r>
      <rPr>
        <vertAlign val="superscript"/>
        <sz val="11"/>
        <color theme="1"/>
        <rFont val="Calibri Light"/>
        <family val="2"/>
      </rPr>
      <t>3</t>
    </r>
    <r>
      <rPr>
        <sz val="11"/>
        <color theme="1"/>
        <rFont val="Calibri Light"/>
        <family val="2"/>
      </rPr>
      <t>/unidade de produto</t>
    </r>
  </si>
  <si>
    <r>
      <t>m</t>
    </r>
    <r>
      <rPr>
        <vertAlign val="superscript"/>
        <sz val="11"/>
        <color theme="1"/>
        <rFont val="Calibri Light"/>
        <family val="2"/>
      </rPr>
      <t>3</t>
    </r>
    <r>
      <rPr>
        <sz val="11"/>
        <color theme="1"/>
        <rFont val="Calibri Light"/>
        <family val="2"/>
      </rPr>
      <t>/outro</t>
    </r>
  </si>
  <si>
    <t>Clique aqui para ver os parâmetros do Conama</t>
  </si>
  <si>
    <r>
      <t>R</t>
    </r>
    <r>
      <rPr>
        <b/>
        <vertAlign val="subscript"/>
        <sz val="11"/>
        <color rgb="FF225B83"/>
        <rFont val="Calibri Light"/>
        <family val="2"/>
      </rPr>
      <t>CO2</t>
    </r>
    <r>
      <rPr>
        <b/>
        <sz val="11"/>
        <color rgb="FF225B83"/>
        <rFont val="Calibri Light"/>
        <family val="2"/>
      </rPr>
      <t xml:space="preserve"> = Remoções permanentes de CO</t>
    </r>
    <r>
      <rPr>
        <b/>
        <vertAlign val="subscript"/>
        <sz val="11"/>
        <color rgb="FF225B83"/>
        <rFont val="Calibri Light"/>
        <family val="2"/>
      </rPr>
      <t>2</t>
    </r>
  </si>
  <si>
    <r>
      <t>E</t>
    </r>
    <r>
      <rPr>
        <b/>
        <i/>
        <vertAlign val="subscript"/>
        <sz val="11"/>
        <color rgb="FF225B83"/>
        <rFont val="Calibri Light"/>
        <family val="2"/>
      </rPr>
      <t>CO2</t>
    </r>
    <r>
      <rPr>
        <b/>
        <sz val="11"/>
        <color rgb="FF225B83"/>
        <rFont val="Calibri Light"/>
        <family val="2"/>
      </rPr>
      <t xml:space="preserve"> = Emissões relacionadas à perda de biomassa</t>
    </r>
  </si>
  <si>
    <r>
      <t>Tabela 2.3 - Riqueza (Rp</t>
    </r>
    <r>
      <rPr>
        <b/>
        <vertAlign val="subscript"/>
        <sz val="11"/>
        <color rgb="FF046433"/>
        <rFont val="Calibri Light"/>
        <family val="2"/>
      </rPr>
      <t>m</t>
    </r>
    <r>
      <rPr>
        <b/>
        <sz val="11"/>
        <color rgb="FF046433"/>
        <rFont val="Calibri Light"/>
        <family val="2"/>
      </rPr>
      <t>), abundância (Ap</t>
    </r>
    <r>
      <rPr>
        <b/>
        <vertAlign val="subscript"/>
        <sz val="11"/>
        <color rgb="FF046433"/>
        <rFont val="Calibri Light"/>
        <family val="2"/>
      </rPr>
      <t>m</t>
    </r>
    <r>
      <rPr>
        <b/>
        <sz val="11"/>
        <color rgb="FF046433"/>
        <rFont val="Calibri Light"/>
        <family val="2"/>
      </rPr>
      <t>)  e distância de vôo (d</t>
    </r>
    <r>
      <rPr>
        <b/>
        <vertAlign val="subscript"/>
        <sz val="11"/>
        <color rgb="FF046433"/>
        <rFont val="Calibri Light"/>
        <family val="2"/>
      </rPr>
      <t>i</t>
    </r>
    <r>
      <rPr>
        <b/>
        <sz val="11"/>
        <color rgb="FF046433"/>
        <rFont val="Calibri Light"/>
        <family val="2"/>
      </rPr>
      <t xml:space="preserve">) de polinizadores para espécies </t>
    </r>
    <r>
      <rPr>
        <b/>
        <u/>
        <sz val="11"/>
        <color rgb="FF046433"/>
        <rFont val="Calibri Light"/>
        <family val="2"/>
      </rPr>
      <t>não</t>
    </r>
    <r>
      <rPr>
        <b/>
        <sz val="11"/>
        <color rgb="FF046433"/>
        <rFont val="Calibri Light"/>
        <family val="2"/>
      </rPr>
      <t xml:space="preserve"> cadastradas</t>
    </r>
  </si>
  <si>
    <r>
      <t>Tabela 2.2 - Riqueza (Rp</t>
    </r>
    <r>
      <rPr>
        <b/>
        <vertAlign val="subscript"/>
        <sz val="11"/>
        <color rgb="FF046433"/>
        <rFont val="Calibri Light"/>
        <family val="2"/>
      </rPr>
      <t>m</t>
    </r>
    <r>
      <rPr>
        <b/>
        <sz val="11"/>
        <color rgb="FF046433"/>
        <rFont val="Calibri Light"/>
        <family val="2"/>
      </rPr>
      <t>) e abundância (Ap</t>
    </r>
    <r>
      <rPr>
        <b/>
        <vertAlign val="subscript"/>
        <sz val="11"/>
        <color rgb="FF046433"/>
        <rFont val="Calibri Light"/>
        <family val="2"/>
      </rPr>
      <t>m</t>
    </r>
    <r>
      <rPr>
        <b/>
        <sz val="11"/>
        <color rgb="FF046433"/>
        <rFont val="Calibri Light"/>
        <family val="2"/>
      </rPr>
      <t xml:space="preserve">)  de polinizadores para espécies </t>
    </r>
    <r>
      <rPr>
        <b/>
        <u/>
        <sz val="11"/>
        <color rgb="FF046433"/>
        <rFont val="Calibri Light"/>
        <family val="2"/>
      </rPr>
      <t>já</t>
    </r>
    <r>
      <rPr>
        <b/>
        <sz val="11"/>
        <color rgb="FF046433"/>
        <rFont val="Calibri Light"/>
        <family val="2"/>
      </rPr>
      <t xml:space="preserve"> cadastradas</t>
    </r>
  </si>
  <si>
    <r>
      <t xml:space="preserve">Estimativas de </t>
    </r>
    <r>
      <rPr>
        <b/>
        <i/>
        <sz val="11"/>
        <color rgb="FF225B83"/>
        <rFont val="Calibri Light"/>
        <family val="2"/>
      </rPr>
      <t>Ap</t>
    </r>
  </si>
  <si>
    <r>
      <t xml:space="preserve">Estimativas de </t>
    </r>
    <r>
      <rPr>
        <b/>
        <i/>
        <sz val="12"/>
        <color rgb="FF225B83"/>
        <rFont val="Calibri Light"/>
        <family val="2"/>
      </rPr>
      <t>d</t>
    </r>
    <r>
      <rPr>
        <b/>
        <i/>
        <vertAlign val="subscript"/>
        <sz val="12"/>
        <color rgb="FF225B83"/>
        <rFont val="Calibri Light"/>
        <family val="2"/>
      </rPr>
      <t>i</t>
    </r>
  </si>
  <si>
    <r>
      <t xml:space="preserve">Usos de solo, sua descrição e respectivos </t>
    </r>
    <r>
      <rPr>
        <b/>
        <i/>
        <sz val="11"/>
        <color rgb="FF225B83"/>
        <rFont val="Calibri Light"/>
        <family val="2"/>
      </rPr>
      <t>LLI</t>
    </r>
    <r>
      <rPr>
        <b/>
        <sz val="11"/>
        <color rgb="FF225B83"/>
        <rFont val="Calibri Light"/>
        <family val="2"/>
      </rPr>
      <t xml:space="preserve"> médios</t>
    </r>
  </si>
  <si>
    <r>
      <t>PN</t>
    </r>
    <r>
      <rPr>
        <b/>
        <i/>
        <vertAlign val="subscript"/>
        <sz val="12"/>
        <color theme="0"/>
        <rFont val="Calibri Light"/>
        <family val="2"/>
      </rPr>
      <t>s</t>
    </r>
  </si>
  <si>
    <r>
      <t xml:space="preserve">Fator de erodibilidade do solo, </t>
    </r>
    <r>
      <rPr>
        <b/>
        <i/>
        <sz val="11"/>
        <color rgb="FF225B83"/>
        <rFont val="Calibri Light"/>
        <family val="2"/>
      </rPr>
      <t>K</t>
    </r>
    <r>
      <rPr>
        <b/>
        <sz val="11"/>
        <color rgb="FF225B83"/>
        <rFont val="Calibri Light"/>
        <family val="2"/>
      </rPr>
      <t>, obtidos em São Paulo, em t.ha.h/ha.MJ.mm</t>
    </r>
  </si>
  <si>
    <r>
      <t xml:space="preserve">Fator </t>
    </r>
    <r>
      <rPr>
        <b/>
        <i/>
        <sz val="11"/>
        <color rgb="FF225B83"/>
        <rFont val="Calibri Light"/>
        <family val="2"/>
      </rPr>
      <t>CP</t>
    </r>
    <r>
      <rPr>
        <b/>
        <sz val="11"/>
        <color rgb="FF225B83"/>
        <rFont val="Calibri Light"/>
        <family val="2"/>
      </rPr>
      <t xml:space="preserve"> para diferentes usos de solo</t>
    </r>
  </si>
  <si>
    <r>
      <t>Aae</t>
    </r>
    <r>
      <rPr>
        <b/>
        <vertAlign val="subscript"/>
        <sz val="12"/>
        <color theme="0"/>
        <rFont val="Calibri Light"/>
        <family val="2"/>
      </rPr>
      <t>alt</t>
    </r>
    <r>
      <rPr>
        <b/>
        <sz val="12"/>
        <color theme="0"/>
        <rFont val="Calibri Light"/>
        <family val="2"/>
      </rPr>
      <t xml:space="preserve"> </t>
    </r>
  </si>
  <si>
    <t>Dependências</t>
  </si>
  <si>
    <t>Impactos</t>
  </si>
  <si>
    <r>
      <t xml:space="preserve">(G) As abas </t>
    </r>
    <r>
      <rPr>
        <b/>
        <sz val="11"/>
        <color rgb="FFF6882E"/>
        <rFont val="Calibri Light"/>
        <family val="2"/>
      </rPr>
      <t>laranjas</t>
    </r>
    <r>
      <rPr>
        <sz val="11"/>
        <rFont val="Calibri Light"/>
        <family val="2"/>
      </rPr>
      <t xml:space="preserve"> dizem respeito à aspectos gerais do estudo, como Plano de Trabalho e Resumo dos Resultados. As abas </t>
    </r>
    <r>
      <rPr>
        <b/>
        <sz val="11"/>
        <color rgb="FF003978"/>
        <rFont val="Calibri Light"/>
        <family val="2"/>
      </rPr>
      <t>azuis</t>
    </r>
    <r>
      <rPr>
        <sz val="11"/>
        <rFont val="Calibri Light"/>
        <family val="2"/>
      </rPr>
      <t xml:space="preserve"> são calculadoras dos diferentes serviços ecossistêmicos. E as abas </t>
    </r>
    <r>
      <rPr>
        <b/>
        <sz val="11"/>
        <color theme="1" tint="0.34998626667073579"/>
        <rFont val="Calibri Light"/>
        <family val="2"/>
      </rPr>
      <t>cinzas</t>
    </r>
    <r>
      <rPr>
        <sz val="11"/>
        <rFont val="Calibri Light"/>
        <family val="2"/>
      </rPr>
      <t xml:space="preserve"> são abas de apoio que trazem valores </t>
    </r>
    <r>
      <rPr>
        <i/>
        <sz val="11"/>
        <rFont val="Calibri Light"/>
        <family val="2"/>
      </rPr>
      <t xml:space="preserve">defaults </t>
    </r>
    <r>
      <rPr>
        <sz val="11"/>
        <rFont val="Calibri Light"/>
        <family val="2"/>
      </rPr>
      <t>e premissas adotadas nos cálculos.</t>
    </r>
  </si>
  <si>
    <t>Instruções</t>
  </si>
  <si>
    <r>
      <t>Ipca</t>
    </r>
    <r>
      <rPr>
        <b/>
        <vertAlign val="subscript"/>
        <sz val="11"/>
        <color theme="0"/>
        <rFont val="Calibri Light"/>
        <family val="2"/>
      </rPr>
      <t>j</t>
    </r>
  </si>
  <si>
    <r>
      <t>Aae</t>
    </r>
    <r>
      <rPr>
        <b/>
        <vertAlign val="subscript"/>
        <sz val="11"/>
        <color theme="0"/>
        <rFont val="Calibri Light"/>
        <family val="2"/>
      </rPr>
      <t>alt</t>
    </r>
    <r>
      <rPr>
        <b/>
        <sz val="11"/>
        <color theme="0"/>
        <rFont val="Calibri Light"/>
        <family val="2"/>
      </rPr>
      <t xml:space="preserve"> </t>
    </r>
  </si>
  <si>
    <r>
      <t>m</t>
    </r>
    <r>
      <rPr>
        <b/>
        <vertAlign val="superscript"/>
        <sz val="12"/>
        <color theme="0"/>
        <rFont val="Calibri Light"/>
        <family val="2"/>
      </rPr>
      <t>3</t>
    </r>
  </si>
  <si>
    <r>
      <t>DPca</t>
    </r>
    <r>
      <rPr>
        <b/>
        <vertAlign val="subscript"/>
        <sz val="11"/>
        <color theme="0"/>
        <rFont val="Calibri Light"/>
        <family val="2"/>
      </rPr>
      <t>j</t>
    </r>
    <r>
      <rPr>
        <b/>
        <sz val="11"/>
        <color theme="0"/>
        <rFont val="Calibri Light"/>
        <family val="2"/>
      </rPr>
      <t xml:space="preserve"> </t>
    </r>
  </si>
  <si>
    <r>
      <t>DPca</t>
    </r>
    <r>
      <rPr>
        <b/>
        <vertAlign val="subscript"/>
        <sz val="11"/>
        <color theme="0"/>
        <rFont val="Calibri Light"/>
        <family val="2"/>
      </rPr>
      <t>j</t>
    </r>
  </si>
  <si>
    <r>
      <t>PN</t>
    </r>
    <r>
      <rPr>
        <b/>
        <i/>
        <vertAlign val="subscript"/>
        <sz val="11"/>
        <color theme="0"/>
        <rFont val="Calibri Light"/>
        <family val="2"/>
      </rPr>
      <t>s</t>
    </r>
  </si>
  <si>
    <r>
      <t>DPca</t>
    </r>
    <r>
      <rPr>
        <b/>
        <vertAlign val="subscript"/>
        <sz val="12"/>
        <color theme="0"/>
        <rFont val="Calibri Light"/>
        <family val="2"/>
      </rPr>
      <t>j</t>
    </r>
    <r>
      <rPr>
        <b/>
        <sz val="12"/>
        <color theme="0"/>
        <rFont val="Calibri Light"/>
        <family val="2"/>
      </rPr>
      <t xml:space="preserve"> </t>
    </r>
  </si>
  <si>
    <r>
      <t xml:space="preserve">TOTAIS </t>
    </r>
    <r>
      <rPr>
        <b/>
        <i/>
        <sz val="11"/>
        <color theme="0"/>
        <rFont val="Calibri Light"/>
        <family val="2"/>
      </rPr>
      <t xml:space="preserve">J </t>
    </r>
    <r>
      <rPr>
        <b/>
        <sz val="11"/>
        <color theme="0"/>
        <rFont val="Calibri Light"/>
        <family val="2"/>
      </rPr>
      <t>(R$)</t>
    </r>
  </si>
  <si>
    <r>
      <t>Ipca</t>
    </r>
    <r>
      <rPr>
        <b/>
        <vertAlign val="subscript"/>
        <sz val="12"/>
        <color theme="0"/>
        <rFont val="Calibri Light"/>
        <family val="2"/>
      </rPr>
      <t>j</t>
    </r>
  </si>
  <si>
    <r>
      <t>DPca</t>
    </r>
    <r>
      <rPr>
        <b/>
        <vertAlign val="subscript"/>
        <sz val="12"/>
        <color theme="0"/>
        <rFont val="Calibri Light"/>
        <family val="2"/>
      </rPr>
      <t>j</t>
    </r>
  </si>
  <si>
    <r>
      <t xml:space="preserve">Totais </t>
    </r>
    <r>
      <rPr>
        <b/>
        <i/>
        <sz val="12"/>
        <color theme="0"/>
        <rFont val="Calibri Light"/>
        <family val="2"/>
      </rPr>
      <t xml:space="preserve">J </t>
    </r>
    <r>
      <rPr>
        <b/>
        <sz val="12"/>
        <color theme="0"/>
        <rFont val="Calibri Light"/>
        <family val="2"/>
      </rPr>
      <t>(R$)</t>
    </r>
  </si>
  <si>
    <r>
      <t xml:space="preserve">Totais </t>
    </r>
    <r>
      <rPr>
        <b/>
        <i/>
        <sz val="11"/>
        <color theme="0"/>
        <rFont val="Calibri Light"/>
        <family val="2"/>
      </rPr>
      <t xml:space="preserve">J </t>
    </r>
    <r>
      <rPr>
        <b/>
        <sz val="11"/>
        <color theme="0"/>
        <rFont val="Calibri Light"/>
        <family val="2"/>
      </rPr>
      <t>(R$)</t>
    </r>
  </si>
  <si>
    <r>
      <t>tCO</t>
    </r>
    <r>
      <rPr>
        <b/>
        <vertAlign val="subscript"/>
        <sz val="12"/>
        <rFont val="Calibri Light"/>
        <family val="2"/>
      </rPr>
      <t>2</t>
    </r>
    <r>
      <rPr>
        <b/>
        <sz val="12"/>
        <rFont val="Calibri Light"/>
        <family val="2"/>
      </rPr>
      <t>e no período</t>
    </r>
  </si>
  <si>
    <t>Selecione o bioma primeiro</t>
  </si>
  <si>
    <t>Estoque de carbono por uso da terra ex-ante</t>
  </si>
  <si>
    <r>
      <t>Estoque de tCO</t>
    </r>
    <r>
      <rPr>
        <b/>
        <vertAlign val="subscript"/>
        <sz val="11"/>
        <color theme="0"/>
        <rFont val="Calibri Light"/>
        <family val="2"/>
      </rPr>
      <t>2</t>
    </r>
    <r>
      <rPr>
        <b/>
        <sz val="11"/>
        <color theme="0"/>
        <rFont val="Calibri Light"/>
        <family val="2"/>
      </rPr>
      <t>e/ha</t>
    </r>
  </si>
  <si>
    <t>Consideração dos aspectos qualitativos no fator de provisão de não performance</t>
  </si>
  <si>
    <t>APOIO REGULAÇÃO DO CLIMA GLOBAL - LISTAS, FATORES E CÁLCULOS</t>
  </si>
  <si>
    <r>
      <t>Fator de Conversão do peso atômico CO</t>
    </r>
    <r>
      <rPr>
        <vertAlign val="subscript"/>
        <sz val="11"/>
        <color theme="1"/>
        <rFont val="Calibri Light"/>
        <family val="2"/>
      </rPr>
      <t>2</t>
    </r>
  </si>
  <si>
    <t>Dados de entrada</t>
  </si>
  <si>
    <t>Estoque médio de carbono após conversão da área</t>
  </si>
  <si>
    <t>tCO2e/ha</t>
  </si>
  <si>
    <t>Estoque médio de carbono na fito-fisionomia</t>
  </si>
  <si>
    <t xml:space="preserve">Taxa de desmatamento com o projeto </t>
  </si>
  <si>
    <t>%/ano</t>
  </si>
  <si>
    <t>Taxa de desmatamento linha de base</t>
  </si>
  <si>
    <t xml:space="preserve">Área total </t>
  </si>
  <si>
    <t>Provisão de não-performance do projeto</t>
  </si>
  <si>
    <t xml:space="preserve">Duração do projeto </t>
  </si>
  <si>
    <t>Item do cálculo</t>
  </si>
  <si>
    <t>Volume Estimado de Emissões Evitadas por Desmatamento por ano do projeto</t>
  </si>
  <si>
    <r>
      <t>R</t>
    </r>
    <r>
      <rPr>
        <b/>
        <vertAlign val="subscript"/>
        <sz val="11"/>
        <rFont val="Calibri Light"/>
        <family val="2"/>
      </rPr>
      <t>CO2</t>
    </r>
    <r>
      <rPr>
        <b/>
        <sz val="11"/>
        <rFont val="Calibri Light"/>
        <family val="2"/>
      </rPr>
      <t xml:space="preserve"> = Remoções permanentes de CO</t>
    </r>
    <r>
      <rPr>
        <b/>
        <vertAlign val="subscript"/>
        <sz val="11"/>
        <rFont val="Calibri Light"/>
        <family val="2"/>
      </rPr>
      <t>2</t>
    </r>
    <r>
      <rPr>
        <b/>
        <sz val="11"/>
        <rFont val="Calibri Light"/>
        <family val="2"/>
      </rPr>
      <t xml:space="preserve"> (pesando os diferentes tipos de restauração)</t>
    </r>
  </si>
  <si>
    <t>tCO2e por período para a área total</t>
  </si>
  <si>
    <t>1. Cálculo das Emissões Líquidas</t>
  </si>
  <si>
    <t>Listas</t>
  </si>
  <si>
    <t>Premissas</t>
  </si>
  <si>
    <t>Fonte: VCS - VM0015 - Methodology for Avoided Unplanned Deforestation, V1.1</t>
  </si>
  <si>
    <t>Desconto do estoque final carbono pela qualidade do projeto</t>
  </si>
  <si>
    <t>Ponderação estoque final carbono pela qualidade do projeto</t>
  </si>
  <si>
    <t>Fonte: Elaborado por Gvces</t>
  </si>
  <si>
    <r>
      <rPr>
        <b/>
        <sz val="11"/>
        <rFont val="Calibri Light"/>
        <family val="2"/>
      </rPr>
      <t xml:space="preserve">Período </t>
    </r>
    <r>
      <rPr>
        <sz val="11"/>
        <rFont val="Calibri Light"/>
        <family val="2"/>
      </rPr>
      <t>= Tempo de duração do projeto (se abordagem inventário = 1)</t>
    </r>
  </si>
  <si>
    <t>Aa</t>
  </si>
  <si>
    <t>Ab</t>
  </si>
  <si>
    <t>As</t>
  </si>
  <si>
    <t>Cb</t>
  </si>
  <si>
    <t>Cs</t>
  </si>
  <si>
    <t>Da</t>
  </si>
  <si>
    <t>Db</t>
  </si>
  <si>
    <t>Dm</t>
  </si>
  <si>
    <t>Ds</t>
  </si>
  <si>
    <t>Fa</t>
  </si>
  <si>
    <t>Floresta Estacional Semidecidual Aluvial</t>
  </si>
  <si>
    <t>Fb</t>
  </si>
  <si>
    <t>Fm</t>
  </si>
  <si>
    <t>Fs</t>
  </si>
  <si>
    <t>La</t>
  </si>
  <si>
    <t>Lb</t>
  </si>
  <si>
    <t>Lg</t>
  </si>
  <si>
    <t>Ld</t>
  </si>
  <si>
    <t>Pa</t>
  </si>
  <si>
    <t>Pf</t>
  </si>
  <si>
    <t>Pm</t>
  </si>
  <si>
    <t>Rm</t>
  </si>
  <si>
    <t>Rs</t>
  </si>
  <si>
    <t>S.a</t>
  </si>
  <si>
    <t>Sd</t>
  </si>
  <si>
    <t>Sg</t>
  </si>
  <si>
    <t>Sp</t>
  </si>
  <si>
    <t>Ta</t>
  </si>
  <si>
    <t>Td</t>
  </si>
  <si>
    <t>Tg</t>
  </si>
  <si>
    <t>Tp</t>
  </si>
  <si>
    <t>Am</t>
  </si>
  <si>
    <t>Cm</t>
  </si>
  <si>
    <t>Rl</t>
  </si>
  <si>
    <t>Savana arborizada</t>
  </si>
  <si>
    <t>Floresta Estacional Decidual Montana - SP, MS</t>
  </si>
  <si>
    <t>Floresta Estacional Decidual Montana - BA, GO, MG</t>
  </si>
  <si>
    <t>Floresta Estacional Decidual Submontana - MT, MS, SP</t>
  </si>
  <si>
    <t>Floresta Estacional Decidual Submontana - BA, DF, GO, MA, MG, PI, TO</t>
  </si>
  <si>
    <t>Ea</t>
  </si>
  <si>
    <t>Floresta Estacional Semidecidual aluvial - BA, DF, GO, MG</t>
  </si>
  <si>
    <t>Floresta Estacional Semidecidual aluvial - MS, MT</t>
  </si>
  <si>
    <t>Floresta Estacional Semidecidual aluvial - PA, TO</t>
  </si>
  <si>
    <t>Floresta Estacional Semidecidual aluvial - PR, SP</t>
  </si>
  <si>
    <t>Floresta Estacional Semidecidual de terras baixas - GO, MG</t>
  </si>
  <si>
    <t>Floresta Estacional Semidecidual de terras baixas - MT</t>
  </si>
  <si>
    <t>Floresta Estacional Semidecidual montana - BA, GO, MG, SP</t>
  </si>
  <si>
    <t>Floresta Estacional Semidecidual Submontana - BA, MA, PI</t>
  </si>
  <si>
    <t>Floresta Estacional Semidecidual Submontana - GO, MG, MS, MT, PR, RO, SP, TO</t>
  </si>
  <si>
    <t>Ml</t>
  </si>
  <si>
    <t>Mm</t>
  </si>
  <si>
    <t>Savana Florestada - BA, DF, GO, MG</t>
  </si>
  <si>
    <t>Savana Florestada - MA, PI, TO</t>
  </si>
  <si>
    <t>Savana Florestada - MS, MT</t>
  </si>
  <si>
    <t>Savana Florestada - SP</t>
  </si>
  <si>
    <t>A.s</t>
  </si>
  <si>
    <t>Ca</t>
  </si>
  <si>
    <t>Dl</t>
  </si>
  <si>
    <t>Eg</t>
  </si>
  <si>
    <t>Ma</t>
  </si>
  <si>
    <t>Ms</t>
  </si>
  <si>
    <t>Tf</t>
  </si>
  <si>
    <t>Emissões evitadas líquidas (Eev)</t>
  </si>
  <si>
    <t>2. Cálculo das Emissões Evitadas por Desmatamento, fatores e premissas</t>
  </si>
  <si>
    <t>Padrão</t>
  </si>
  <si>
    <t>Para este cálculo</t>
  </si>
  <si>
    <t>Resultados</t>
  </si>
  <si>
    <t>tese.gvces@fgv.br</t>
  </si>
  <si>
    <t>Fator de redução médio no estoque de vegetação secundária</t>
  </si>
  <si>
    <t>Floresta primária</t>
  </si>
  <si>
    <t>Floresta secundária</t>
  </si>
  <si>
    <t>Estágio de vegetação</t>
  </si>
  <si>
    <t>Estoque de carbono considerando o estágio de vegetação</t>
  </si>
  <si>
    <t>Área de desmatamento evitado - valor acumulado (ha)</t>
  </si>
  <si>
    <t>Área de desmatamento evitado - valor anual (ha)</t>
  </si>
  <si>
    <r>
      <t xml:space="preserve">Estoque de carbono contido nos biomas por fitosionomia para vegetação primária (valores </t>
    </r>
    <r>
      <rPr>
        <b/>
        <i/>
        <sz val="11"/>
        <color rgb="FF1E7EAA"/>
        <rFont val="Calibri Light"/>
        <family val="2"/>
      </rPr>
      <t xml:space="preserve">default) </t>
    </r>
  </si>
  <si>
    <r>
      <t>Estoque de tCO</t>
    </r>
    <r>
      <rPr>
        <b/>
        <vertAlign val="subscript"/>
        <sz val="11"/>
        <color theme="0"/>
        <rFont val="Calibri Light"/>
        <family val="2"/>
      </rPr>
      <t>2</t>
    </r>
    <r>
      <rPr>
        <b/>
        <sz val="11"/>
        <color theme="0"/>
        <rFont val="Calibri Light"/>
        <family val="2"/>
      </rPr>
      <t xml:space="preserve">e/ha </t>
    </r>
  </si>
  <si>
    <r>
      <t xml:space="preserve">Estoque médio de carbono de </t>
    </r>
    <r>
      <rPr>
        <b/>
        <sz val="11"/>
        <rFont val="Calibri Light"/>
        <family val="2"/>
      </rPr>
      <t>vegetação secundária por fitofisionomia</t>
    </r>
  </si>
  <si>
    <t xml:space="preserve">Área total de desmatamento evitado </t>
  </si>
  <si>
    <t>Estoque médio de carbono de vegetação secundária com o projeto:</t>
  </si>
  <si>
    <t>Agricultura perene (todos os outros biomas)</t>
  </si>
  <si>
    <t>Agricultura perene na Caatinga</t>
  </si>
  <si>
    <t>Fonte: Terceiro Inventário Brasileiro de Emissões e Remoções Antrópicas de Gases de Efeito Estufa. Relatórios de Referência  - Emissões de Dióxido de Carbono no Setor de Uso da Terra, Mudança do Uso da Terra e Florestas. Ministério de Ciência e Tecnologia e Inovação - 2015</t>
  </si>
  <si>
    <t>Áreas de reservatórios, urbanas e outros usos</t>
  </si>
  <si>
    <t>O estoque médio de carbono é de 44% da vegetação primária (floresta manejada e não manejada) para a vegetação secundária em todos os biomas brasileiros.</t>
  </si>
  <si>
    <t>Fonte: MCTI, 2016</t>
  </si>
  <si>
    <t>Pastagem (demais biomas)</t>
  </si>
  <si>
    <t>Pastagem (Caatinga)</t>
  </si>
  <si>
    <t>Pastagem (Pampa)</t>
  </si>
  <si>
    <r>
      <t>Resultado para C</t>
    </r>
    <r>
      <rPr>
        <b/>
        <vertAlign val="subscript"/>
        <sz val="11"/>
        <rFont val="Calibri Light"/>
        <family val="2"/>
      </rPr>
      <t>veg</t>
    </r>
  </si>
  <si>
    <t xml:space="preserve">Resultado para Cpd </t>
  </si>
  <si>
    <r>
      <t>Resultado para CV</t>
    </r>
    <r>
      <rPr>
        <b/>
        <vertAlign val="subscript"/>
        <sz val="11"/>
        <rFont val="Calibri Light"/>
        <family val="2"/>
      </rPr>
      <t>rec</t>
    </r>
  </si>
  <si>
    <r>
      <t>Se não obtiver dados específicos de C</t>
    </r>
    <r>
      <rPr>
        <vertAlign val="subscript"/>
        <sz val="11"/>
        <rFont val="Calibri Light"/>
        <family val="2"/>
      </rPr>
      <t xml:space="preserve">Vrem </t>
    </r>
    <r>
      <rPr>
        <sz val="11"/>
        <rFont val="Calibri Light"/>
        <family val="2"/>
      </rPr>
      <t xml:space="preserve">= preencha dados abaixo: </t>
    </r>
  </si>
  <si>
    <t>Estimativa da qualidade da implantação do projeto</t>
  </si>
  <si>
    <r>
      <t>Se não obtiver dados específicos de C</t>
    </r>
    <r>
      <rPr>
        <vertAlign val="subscript"/>
        <sz val="11"/>
        <rFont val="Calibri Light"/>
        <family val="2"/>
      </rPr>
      <t>pd</t>
    </r>
    <r>
      <rPr>
        <sz val="11"/>
        <rFont val="Calibri Light"/>
        <family val="2"/>
      </rPr>
      <t>, preencha abaixo:</t>
    </r>
  </si>
  <si>
    <r>
      <t>Se não obtiver dados específicos de C</t>
    </r>
    <r>
      <rPr>
        <vertAlign val="subscript"/>
        <sz val="11"/>
        <rFont val="Calibri Light"/>
        <family val="2"/>
      </rPr>
      <t>veg</t>
    </r>
    <r>
      <rPr>
        <sz val="11"/>
        <rFont val="Calibri Light"/>
        <family val="2"/>
      </rPr>
      <t>, preencha abaixo:</t>
    </r>
  </si>
  <si>
    <r>
      <t>$log</t>
    </r>
    <r>
      <rPr>
        <b/>
        <i/>
        <vertAlign val="subscript"/>
        <sz val="11"/>
        <color theme="1"/>
        <rFont val="Calibri Light"/>
        <family val="2"/>
      </rPr>
      <t>s</t>
    </r>
    <r>
      <rPr>
        <b/>
        <i/>
        <sz val="11"/>
        <color theme="1"/>
        <rFont val="Calibri Light"/>
        <family val="2"/>
      </rPr>
      <t xml:space="preserve"> = </t>
    </r>
    <r>
      <rPr>
        <sz val="11"/>
        <color theme="1"/>
        <rFont val="Calibri Light"/>
        <family val="2"/>
      </rPr>
      <t xml:space="preserve">custos de logística com importação e/ou com adaptação da estrutura e do processo produtivo para funcionar com bem equivalente </t>
    </r>
  </si>
  <si>
    <r>
      <t>$p</t>
    </r>
    <r>
      <rPr>
        <b/>
        <vertAlign val="subscript"/>
        <sz val="11"/>
        <color theme="1"/>
        <rFont val="Calibri Light"/>
        <family val="2"/>
      </rPr>
      <t>s</t>
    </r>
    <r>
      <rPr>
        <b/>
        <sz val="11"/>
        <color theme="1"/>
        <rFont val="Calibri Light"/>
        <family val="2"/>
      </rPr>
      <t xml:space="preserve"> = </t>
    </r>
    <r>
      <rPr>
        <sz val="11"/>
        <color theme="1"/>
        <rFont val="Calibri Light"/>
        <family val="2"/>
      </rPr>
      <t>preço de mercado do bem substituto</t>
    </r>
  </si>
  <si>
    <r>
      <rPr>
        <b/>
        <i/>
        <sz val="11"/>
        <color theme="1"/>
        <rFont val="Calibri Light"/>
        <family val="2"/>
      </rPr>
      <t>Qi</t>
    </r>
    <r>
      <rPr>
        <b/>
        <i/>
        <vertAlign val="subscript"/>
        <sz val="11"/>
        <color theme="1"/>
        <rFont val="Calibri Light"/>
        <family val="2"/>
      </rPr>
      <t>s</t>
    </r>
    <r>
      <rPr>
        <b/>
        <vertAlign val="subscript"/>
        <sz val="11"/>
        <color theme="1"/>
        <rFont val="Calibri Light"/>
        <family val="2"/>
      </rPr>
      <t xml:space="preserve"> </t>
    </r>
    <r>
      <rPr>
        <sz val="11"/>
        <color theme="1"/>
        <rFont val="Calibri Light"/>
        <family val="2"/>
      </rPr>
      <t>= quantidade do bem substituto necessária</t>
    </r>
  </si>
  <si>
    <r>
      <t>$P</t>
    </r>
    <r>
      <rPr>
        <b/>
        <i/>
        <vertAlign val="subscript"/>
        <sz val="11"/>
        <color theme="1"/>
        <rFont val="Calibri Light"/>
        <family val="2"/>
      </rPr>
      <t>s</t>
    </r>
    <r>
      <rPr>
        <b/>
        <i/>
        <sz val="11"/>
        <color theme="1"/>
        <rFont val="Calibri Light"/>
        <family val="2"/>
      </rPr>
      <t xml:space="preserve"> = </t>
    </r>
    <r>
      <rPr>
        <sz val="11"/>
        <color theme="1"/>
        <rFont val="Calibri Light"/>
        <family val="2"/>
      </rPr>
      <t>preço do bem substituto que suprirá a indisponibilidade do BEI</t>
    </r>
  </si>
  <si>
    <r>
      <t>$log</t>
    </r>
    <r>
      <rPr>
        <b/>
        <i/>
        <vertAlign val="subscript"/>
        <sz val="11"/>
        <color theme="1"/>
        <rFont val="Calibri Light"/>
        <family val="2"/>
      </rPr>
      <t>s</t>
    </r>
    <r>
      <rPr>
        <b/>
        <i/>
        <sz val="11"/>
        <color theme="1"/>
        <rFont val="Calibri Light"/>
        <family val="2"/>
      </rPr>
      <t xml:space="preserve"> = </t>
    </r>
    <r>
      <rPr>
        <sz val="11"/>
        <color theme="1"/>
        <rFont val="Calibri Light"/>
        <family val="2"/>
      </rPr>
      <t>Custos de logística com a importação e/ou com adaptação da estrutura e do processo produtivo para funcionar com o bem substituto</t>
    </r>
  </si>
  <si>
    <r>
      <rPr>
        <b/>
        <i/>
        <sz val="11"/>
        <color theme="1"/>
        <rFont val="Calibri Light"/>
        <family val="2"/>
      </rPr>
      <t>Pqi</t>
    </r>
    <r>
      <rPr>
        <sz val="11"/>
        <color theme="1"/>
        <rFont val="Calibri Light"/>
        <family val="2"/>
      </rPr>
      <t xml:space="preserve"> = Perda na produção em função da indisponibilidade do BEI</t>
    </r>
  </si>
  <si>
    <r>
      <rPr>
        <b/>
        <i/>
        <sz val="11"/>
        <color theme="1"/>
        <rFont val="Calibri Light"/>
        <family val="2"/>
      </rPr>
      <t>IQApe</t>
    </r>
    <r>
      <rPr>
        <b/>
        <sz val="11"/>
        <color theme="1"/>
        <rFont val="Calibri Light"/>
        <family val="2"/>
      </rPr>
      <t xml:space="preserve"> =</t>
    </r>
    <r>
      <rPr>
        <sz val="11"/>
        <color theme="1"/>
        <rFont val="Calibri Light"/>
        <family val="2"/>
      </rPr>
      <t xml:space="preserve"> Indicador de qualidade ambiental calculado pós ciclo de exploração do BEI</t>
    </r>
  </si>
  <si>
    <r>
      <rPr>
        <b/>
        <i/>
        <sz val="11"/>
        <color theme="1"/>
        <rFont val="Calibri Light"/>
        <family val="2"/>
      </rPr>
      <t>IQAae</t>
    </r>
    <r>
      <rPr>
        <b/>
        <sz val="11"/>
        <color theme="1"/>
        <rFont val="Calibri Light"/>
        <family val="2"/>
      </rPr>
      <t xml:space="preserve"> =</t>
    </r>
    <r>
      <rPr>
        <sz val="11"/>
        <color theme="1"/>
        <rFont val="Calibri Light"/>
        <family val="2"/>
      </rPr>
      <t xml:space="preserve"> Indicador de qualidade ambiental calculado antes do ciclo de exploração do BEI</t>
    </r>
  </si>
  <si>
    <r>
      <rPr>
        <b/>
        <i/>
        <sz val="11"/>
        <color theme="1"/>
        <rFont val="Calibri Light"/>
        <family val="2"/>
      </rPr>
      <t>$RA =</t>
    </r>
    <r>
      <rPr>
        <sz val="11"/>
        <color theme="1"/>
        <rFont val="Calibri Light"/>
        <family val="2"/>
      </rPr>
      <t xml:space="preserve"> Gastos com as práticas de manejo para recuperação da qualidade ambiental onde o BEI é explorado para atender à demanda da empresa</t>
    </r>
  </si>
  <si>
    <r>
      <rPr>
        <b/>
        <i/>
        <sz val="11"/>
        <color theme="1"/>
        <rFont val="Calibri Light"/>
        <family val="2"/>
      </rPr>
      <t>Vqe</t>
    </r>
    <r>
      <rPr>
        <b/>
        <sz val="11"/>
        <color theme="1"/>
        <rFont val="Calibri Light"/>
        <family val="2"/>
      </rPr>
      <t xml:space="preserve"> =</t>
    </r>
    <r>
      <rPr>
        <sz val="11"/>
        <color theme="1"/>
        <rFont val="Calibri Light"/>
        <family val="2"/>
      </rPr>
      <t xml:space="preserve"> Variação na produção de outro usuário em função da exploração do BEI pela empresa</t>
    </r>
  </si>
  <si>
    <r>
      <rPr>
        <b/>
        <i/>
        <sz val="11"/>
        <color theme="1"/>
        <rFont val="Calibri Light"/>
        <family val="2"/>
      </rPr>
      <t>$vp</t>
    </r>
    <r>
      <rPr>
        <b/>
        <sz val="11"/>
        <color theme="1"/>
        <rFont val="Calibri Light"/>
        <family val="2"/>
      </rPr>
      <t xml:space="preserve"> = </t>
    </r>
    <r>
      <rPr>
        <sz val="11"/>
        <color theme="1"/>
        <rFont val="Calibri Light"/>
        <family val="2"/>
      </rPr>
      <t>Preço de venda da produção do usuário cujo negócio/renda sofre influência da exploração do BEI pela empresa</t>
    </r>
  </si>
  <si>
    <r>
      <t>Bem Ecossistêmico de Interesse (</t>
    </r>
    <r>
      <rPr>
        <b/>
        <sz val="11"/>
        <rFont val="Calibri Light"/>
        <family val="2"/>
      </rPr>
      <t>BEI</t>
    </r>
    <r>
      <rPr>
        <sz val="11"/>
        <rFont val="Calibri Light"/>
        <family val="2"/>
      </rPr>
      <t xml:space="preserve">): </t>
    </r>
  </si>
  <si>
    <r>
      <t>$log</t>
    </r>
    <r>
      <rPr>
        <b/>
        <i/>
        <vertAlign val="subscript"/>
        <sz val="11"/>
        <color theme="1"/>
        <rFont val="Calibri Light"/>
        <family val="2"/>
      </rPr>
      <t>s</t>
    </r>
    <r>
      <rPr>
        <b/>
        <i/>
        <sz val="11"/>
        <color theme="1"/>
        <rFont val="Calibri Light"/>
        <family val="2"/>
      </rPr>
      <t xml:space="preserve"> = </t>
    </r>
    <r>
      <rPr>
        <sz val="11"/>
        <color theme="1"/>
        <rFont val="Calibri Light"/>
        <family val="2"/>
      </rPr>
      <t>custos de logística com a importação e/ou com adaptação da estrutura e do processo produtivo para funcionar com o bem substituto</t>
    </r>
  </si>
  <si>
    <t>mês</t>
  </si>
  <si>
    <t>dia</t>
  </si>
  <si>
    <t>selecione</t>
  </si>
  <si>
    <t>ano</t>
  </si>
  <si>
    <t>Estão disponíveis duas abordagens de quantificação e valoração para o serviço ecossistêmico polinização. Escolha o mais adequado e abra o agrupamento de células para preenchimento e visualização de resultados.</t>
  </si>
  <si>
    <r>
      <t>Balanço de tCO</t>
    </r>
    <r>
      <rPr>
        <b/>
        <vertAlign val="subscript"/>
        <sz val="12"/>
        <rFont val="Calibri Light"/>
        <family val="2"/>
      </rPr>
      <t>2</t>
    </r>
    <r>
      <rPr>
        <sz val="12"/>
        <rFont val="Calibri Light"/>
        <family val="2"/>
      </rPr>
      <t>e</t>
    </r>
  </si>
  <si>
    <r>
      <t>E</t>
    </r>
    <r>
      <rPr>
        <b/>
        <i/>
        <vertAlign val="subscript"/>
        <sz val="12"/>
        <rFont val="Calibri Light"/>
        <family val="2"/>
      </rPr>
      <t xml:space="preserve">CO2 </t>
    </r>
    <r>
      <rPr>
        <b/>
        <sz val="12"/>
        <rFont val="Calibri Light"/>
        <family val="2"/>
      </rPr>
      <t>(Emissões relacionadas à perda de biomassa)</t>
    </r>
  </si>
  <si>
    <t>Bem substituto do BEI</t>
  </si>
  <si>
    <r>
      <t>$p</t>
    </r>
    <r>
      <rPr>
        <b/>
        <i/>
        <vertAlign val="subscript"/>
        <sz val="11"/>
        <color theme="1"/>
        <rFont val="Calibri Light"/>
        <family val="2"/>
      </rPr>
      <t>s</t>
    </r>
    <r>
      <rPr>
        <b/>
        <i/>
        <sz val="11"/>
        <color theme="1"/>
        <rFont val="Calibri Light"/>
        <family val="2"/>
      </rPr>
      <t xml:space="preserve"> = </t>
    </r>
    <r>
      <rPr>
        <sz val="11"/>
        <color theme="1"/>
        <rFont val="Calibri Light"/>
        <family val="2"/>
      </rPr>
      <t>preço de mercado do bem substituto</t>
    </r>
  </si>
  <si>
    <t>Se não tiver o LS, calcule a partir de um mapa de altitude, usando os campos abaixo:</t>
  </si>
  <si>
    <t xml:space="preserve">Dependência </t>
  </si>
  <si>
    <t xml:space="preserve">Preencha com os diferentes resultados obtidos </t>
  </si>
  <si>
    <t xml:space="preserve">Ebei2 </t>
  </si>
  <si>
    <t>DBc</t>
  </si>
  <si>
    <t>Escolha o método de valoração monetária a ser utilizado. Os cálculos devem ser feitos para cada bem de interesse (BEI) em separado. Após preencher a Tabelas de Compilação de resultados abaixo com os resultados de um determinado BEI, apague todas as células cinzas do quadro DADOS DE ENTRADA e preencha novamente para o próximo BEI a ser analisado.</t>
  </si>
  <si>
    <t>1. Valoração monetária por Método de Custo de Reposição (MCR)</t>
  </si>
  <si>
    <t>2. Valoração monetária por Método de Produtividade Marginal (MPM)</t>
  </si>
  <si>
    <t>SE de Provisão</t>
  </si>
  <si>
    <r>
      <t>Se não obtiver dados específicos de C</t>
    </r>
    <r>
      <rPr>
        <vertAlign val="subscript"/>
        <sz val="11"/>
        <rFont val="Calibri Light"/>
        <family val="2"/>
      </rPr>
      <t>vrec</t>
    </r>
    <r>
      <rPr>
        <sz val="11"/>
        <rFont val="Calibri Light"/>
        <family val="2"/>
      </rPr>
      <t xml:space="preserve">, preencha abaixo o bioma e a fitosifionomia: </t>
    </r>
  </si>
  <si>
    <r>
      <t>R</t>
    </r>
    <r>
      <rPr>
        <b/>
        <vertAlign val="subscript"/>
        <sz val="12"/>
        <rFont val="Calibri Light"/>
        <family val="2"/>
      </rPr>
      <t>CO2</t>
    </r>
    <r>
      <rPr>
        <b/>
        <sz val="12"/>
        <rFont val="Calibri Light"/>
        <family val="2"/>
      </rPr>
      <t xml:space="preserve"> (Remoções permanentes de CO</t>
    </r>
    <r>
      <rPr>
        <b/>
        <vertAlign val="subscript"/>
        <sz val="12"/>
        <rFont val="Calibri Light"/>
        <family val="2"/>
      </rPr>
      <t>2</t>
    </r>
    <r>
      <rPr>
        <b/>
        <sz val="12"/>
        <rFont val="Calibri Light"/>
        <family val="2"/>
      </rPr>
      <t>)</t>
    </r>
  </si>
  <si>
    <r>
      <t>Os cálculos devem ser feitos para cada cultura agrícola (</t>
    </r>
    <r>
      <rPr>
        <i/>
        <sz val="11"/>
        <rFont val="Calibri Light"/>
        <family val="2"/>
      </rPr>
      <t>j)</t>
    </r>
    <r>
      <rPr>
        <sz val="11"/>
        <rFont val="Calibri Light"/>
        <family val="2"/>
      </rPr>
      <t xml:space="preserve"> e/ou para cada área de cultivo (</t>
    </r>
    <r>
      <rPr>
        <i/>
        <sz val="11"/>
        <rFont val="Calibri Light"/>
        <family val="2"/>
      </rPr>
      <t>n</t>
    </r>
    <r>
      <rPr>
        <sz val="11"/>
        <rFont val="Calibri Light"/>
        <family val="2"/>
      </rPr>
      <t xml:space="preserve">) em separado. Após preencher as Tabelas 1.1 e 1.2 (abaixo) com os resultados de uma determinada cultura agrícola </t>
    </r>
    <r>
      <rPr>
        <i/>
        <sz val="11"/>
        <rFont val="Calibri Light"/>
        <family val="2"/>
      </rPr>
      <t>j</t>
    </r>
    <r>
      <rPr>
        <sz val="11"/>
        <rFont val="Calibri Light"/>
        <family val="2"/>
      </rPr>
      <t xml:space="preserve"> e/ou de uma área </t>
    </r>
    <r>
      <rPr>
        <i/>
        <sz val="11"/>
        <rFont val="Calibri Light"/>
        <family val="2"/>
      </rPr>
      <t>n</t>
    </r>
    <r>
      <rPr>
        <sz val="11"/>
        <rFont val="Calibri Light"/>
        <family val="2"/>
      </rPr>
      <t xml:space="preserve">, </t>
    </r>
    <r>
      <rPr>
        <u/>
        <sz val="11"/>
        <rFont val="Calibri Light"/>
        <family val="2"/>
      </rPr>
      <t>apague todas as células cinzas</t>
    </r>
    <r>
      <rPr>
        <sz val="11"/>
        <rFont val="Calibri Light"/>
        <family val="2"/>
      </rPr>
      <t xml:space="preserve"> do quadro DADOS DE ENTRADA e preencha novamente para a próxima cultura agrícola a ser analisada. </t>
    </r>
  </si>
  <si>
    <r>
      <t>Q</t>
    </r>
    <r>
      <rPr>
        <i/>
        <vertAlign val="subscript"/>
        <sz val="11"/>
        <rFont val="Calibri Light"/>
        <family val="2"/>
      </rPr>
      <t>rp</t>
    </r>
    <r>
      <rPr>
        <sz val="11"/>
        <rFont val="Calibri Light"/>
        <family val="2"/>
      </rPr>
      <t xml:space="preserve"> = quantidade de reposição de polinização realizada</t>
    </r>
  </si>
  <si>
    <t>Versão 2017_1.4</t>
  </si>
  <si>
    <t xml:space="preserve">Ferramenta de cálculo da TeSE </t>
  </si>
  <si>
    <t>Aba da ferramenta</t>
  </si>
  <si>
    <t>Regulação da Polinização</t>
  </si>
  <si>
    <t xml:space="preserve">Separação dos métodos de valoração monetária em duas opções: método de custo de reposição (MCR) e método de produtividade marginal (MPM). </t>
  </si>
  <si>
    <r>
      <t>Método de reposição de polinização: ajuste no cálculo do Impacto (Ipca</t>
    </r>
    <r>
      <rPr>
        <vertAlign val="subscript"/>
        <sz val="11"/>
        <color theme="1"/>
        <rFont val="Calibri Light"/>
        <family val="2"/>
      </rPr>
      <t>j</t>
    </r>
    <r>
      <rPr>
        <sz val="11"/>
        <color theme="1"/>
        <rFont val="Calibri Light"/>
        <family val="2"/>
      </rPr>
      <t>)</t>
    </r>
  </si>
  <si>
    <r>
      <t>Valor</t>
    </r>
    <r>
      <rPr>
        <b/>
        <vertAlign val="subscript"/>
        <sz val="12"/>
        <rFont val="Calibri Light"/>
        <family val="2"/>
      </rPr>
      <t xml:space="preserve">mut </t>
    </r>
  </si>
  <si>
    <r>
      <t>Valor</t>
    </r>
    <r>
      <rPr>
        <b/>
        <vertAlign val="subscript"/>
        <sz val="12"/>
        <rFont val="Calibri Light"/>
        <family val="2"/>
      </rPr>
      <t>caf</t>
    </r>
    <r>
      <rPr>
        <b/>
        <sz val="8"/>
        <rFont val="Calibri Light"/>
        <family val="2"/>
      </rPr>
      <t xml:space="preserve"> </t>
    </r>
  </si>
  <si>
    <r>
      <t>Separação dos resultados da valoração monetária da externalidade i) por mudança do uso da terra (Valor</t>
    </r>
    <r>
      <rPr>
        <vertAlign val="subscript"/>
        <sz val="11"/>
        <color theme="1"/>
        <rFont val="Calibri Light"/>
        <family val="2"/>
      </rPr>
      <t>mut</t>
    </r>
    <r>
      <rPr>
        <sz val="11"/>
        <color theme="1"/>
        <rFont val="Calibri Light"/>
        <family val="2"/>
      </rPr>
      <t>) ; ii) por uso de alternativa energética fóssil (Valor</t>
    </r>
    <r>
      <rPr>
        <vertAlign val="subscript"/>
        <sz val="11"/>
        <color theme="1"/>
        <rFont val="Calibri Light"/>
        <family val="2"/>
      </rPr>
      <t>caf</t>
    </r>
    <r>
      <rPr>
        <sz val="11"/>
        <color theme="1"/>
        <rFont val="Calibri Light"/>
        <family val="2"/>
      </rPr>
      <t xml:space="preserve">) </t>
    </r>
  </si>
  <si>
    <t>Regulação do Clima Global</t>
  </si>
  <si>
    <t xml:space="preserve">Método de desmatamento evitado: inclusão de seleção para floresta primária ou secundária no projeto. Para florestas primárias, passa a não multiplicar pelo fator de redução de estoque de carbono. Para florestas secundárias o fator foi atualizado para 44%, conforme II Comunicação Brasileira para a UNFCCC de 2016. </t>
  </si>
  <si>
    <r>
      <t xml:space="preserve">Atualização dos valores </t>
    </r>
    <r>
      <rPr>
        <i/>
        <sz val="11"/>
        <color theme="1"/>
        <rFont val="Calibri Light"/>
        <family val="2"/>
      </rPr>
      <t xml:space="preserve">default </t>
    </r>
    <r>
      <rPr>
        <sz val="11"/>
        <color theme="1"/>
        <rFont val="Calibri Light"/>
        <family val="2"/>
      </rPr>
      <t xml:space="preserve">de estoque de carbono por fitosifionomia de acordo com o 3º Inventário de Emissões e com a III Comunicação Brasileira para a UNFCCC de 2016. </t>
    </r>
    <r>
      <rPr>
        <b/>
        <sz val="11"/>
        <color theme="1"/>
        <rFont val="Calibri Light"/>
        <family val="2"/>
      </rPr>
      <t/>
    </r>
  </si>
  <si>
    <t>Método emissões líquidas: ajuste da fórmula de cálculo Rremoções permanentes de CO2 (RCO2).</t>
  </si>
  <si>
    <t>Modificações realizadas em relação à versão 2016_v2.2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</si>
</sst>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7" formatCode="&quot;R$&quot;\ #,##0.00;\-&quot;R$&quot;\ #,##0.00"/>
    <numFmt numFmtId="41" formatCode="_-* #,##0_-;\-* #,##0_-;_-* &quot;-&quot;_-;_-@_-"/>
    <numFmt numFmtId="44" formatCode="_-&quot;R$&quot;\ * #,##0.00_-;\-&quot;R$&quot;\ * #,##0.00_-;_-&quot;R$&quot;\ * &quot;-&quot;??_-;_-@_-"/>
    <numFmt numFmtId="43" formatCode="_-* #,##0.00_-;\-* #,##0.00_-;_-* &quot;-&quot;??_-;_-@_-"/>
    <numFmt numFmtId="164" formatCode="_(* #,##0.00_);_(* \(#,##0.00\);_(* &quot;-&quot;??_);_(@_)"/>
    <numFmt numFmtId="165" formatCode="0.0"/>
    <numFmt numFmtId="166" formatCode="_(* #,##0.0_);_(* \(#,##0.0\);_(* &quot;-&quot;??_);_(@_)"/>
    <numFmt numFmtId="167" formatCode="[$$-409]#,##0"/>
    <numFmt numFmtId="168" formatCode="#,##0_)"/>
    <numFmt numFmtId="169" formatCode="###0.00_)"/>
    <numFmt numFmtId="170" formatCode="0.0_W"/>
    <numFmt numFmtId="171" formatCode="_([$€-2]* #,##0.00_);_([$€-2]* \(#,##0.00\);_([$€-2]* &quot;-&quot;??_)"/>
    <numFmt numFmtId="172" formatCode="_(* #,##0.0_);_(* \(#,##0.0\);_(&quot;-&quot;_);_(@_)"/>
    <numFmt numFmtId="173" formatCode="_(&quot;R$ &quot;* #,##0.00_);_(&quot;R$ &quot;* \(#,##0.00\);_(&quot;R$ &quot;* &quot;-&quot;??_);_(@_)"/>
    <numFmt numFmtId="174" formatCode="_(&quot;$&quot;* #,##0.00_);_(&quot;$&quot;* \(#,##0.00\);_(&quot;$&quot;* &quot;-&quot;??_);_(@_)"/>
    <numFmt numFmtId="175" formatCode="#,##0.0000"/>
    <numFmt numFmtId="176" formatCode="_(* #,##0_);_(* \(#,##0\);_(* &quot;-&quot;??_);_(@_)"/>
    <numFmt numFmtId="177" formatCode="0.0%"/>
    <numFmt numFmtId="178" formatCode="_-* #,##0_-;\-* #,##0_-;_-* &quot;-&quot;??_-;_-@_-"/>
    <numFmt numFmtId="179" formatCode="_-* #,##0.000_-;\-* #,##0.000_-;_-* &quot;-&quot;??_-;_-@_-"/>
    <numFmt numFmtId="180" formatCode="0.0000"/>
    <numFmt numFmtId="181" formatCode="_-[$R$-416]\ * #,##0.00_-;\-[$R$-416]\ * #,##0.00_-;_-[$R$-416]\ * &quot;-&quot;??_-;_-@_-"/>
    <numFmt numFmtId="182" formatCode="&quot;R$&quot;\ #,##0.00"/>
    <numFmt numFmtId="183" formatCode="#,##0.0"/>
    <numFmt numFmtId="184" formatCode="0.000E+00"/>
    <numFmt numFmtId="185" formatCode="#,##0.00_ ;\-#,##0.00\ "/>
    <numFmt numFmtId="186" formatCode="#,##0.00000"/>
    <numFmt numFmtId="187" formatCode="0.000"/>
    <numFmt numFmtId="188" formatCode="0.00000"/>
    <numFmt numFmtId="189" formatCode="0.00_ ;\-0.00\ "/>
    <numFmt numFmtId="190" formatCode="_-* #,##0.0000_-;\-* #,##0.0000_-;_-* &quot;-&quot;??_-;_-@_-"/>
  </numFmts>
  <fonts count="153">
    <font>
      <sz val="11"/>
      <color theme="1"/>
      <name val="Calibri"/>
      <family val="2"/>
      <scheme val="minor"/>
    </font>
    <font>
      <sz val="11"/>
      <color rgb="FF3F3F76"/>
      <name val="Calibri"/>
      <family val="2"/>
      <scheme val="minor"/>
    </font>
    <font>
      <b/>
      <sz val="11"/>
      <color rgb="FF3F3F3F"/>
      <name val="Calibri"/>
      <family val="2"/>
      <scheme val="minor"/>
    </font>
    <font>
      <sz val="11"/>
      <color theme="1"/>
      <name val="Calibri"/>
      <family val="2"/>
      <scheme val="minor"/>
    </font>
    <font>
      <b/>
      <sz val="9"/>
      <color indexed="81"/>
      <name val="Tahoma"/>
      <family val="2"/>
    </font>
    <font>
      <sz val="9"/>
      <name val="Times New Roman"/>
      <family val="1"/>
    </font>
    <font>
      <sz val="10"/>
      <name val="Arial"/>
      <family val="2"/>
    </font>
    <font>
      <b/>
      <sz val="9"/>
      <name val="Times New Roman"/>
      <family val="1"/>
    </font>
    <font>
      <b/>
      <sz val="12"/>
      <name val="Helv"/>
    </font>
    <font>
      <sz val="9"/>
      <name val="Helv"/>
    </font>
    <font>
      <vertAlign val="superscript"/>
      <sz val="12"/>
      <name val="Helv"/>
    </font>
    <font>
      <sz val="10"/>
      <name val="Helv"/>
    </font>
    <font>
      <b/>
      <sz val="10"/>
      <name val="Arial"/>
      <family val="2"/>
    </font>
    <font>
      <i/>
      <sz val="10"/>
      <color indexed="10"/>
      <name val="Arial"/>
      <family val="2"/>
    </font>
    <font>
      <b/>
      <sz val="12"/>
      <name val="Times New Roman"/>
      <family val="1"/>
    </font>
    <font>
      <b/>
      <sz val="9"/>
      <name val="Helv"/>
    </font>
    <font>
      <sz val="8.5"/>
      <name val="Helv"/>
    </font>
    <font>
      <b/>
      <sz val="10"/>
      <name val="Helv"/>
    </font>
    <font>
      <u/>
      <sz val="11"/>
      <color indexed="12"/>
      <name val="Calibri"/>
      <family val="2"/>
    </font>
    <font>
      <u/>
      <sz val="11"/>
      <color theme="10"/>
      <name val="Calibri"/>
      <family val="2"/>
    </font>
    <font>
      <sz val="1"/>
      <name val="Arial"/>
      <family val="2"/>
    </font>
    <font>
      <sz val="10"/>
      <name val="Verdana"/>
      <family val="2"/>
    </font>
    <font>
      <sz val="8"/>
      <name val="Helv"/>
    </font>
    <font>
      <sz val="12"/>
      <name val="Helv"/>
    </font>
    <font>
      <b/>
      <sz val="14"/>
      <name val="Helv"/>
    </font>
    <font>
      <sz val="9"/>
      <color indexed="81"/>
      <name val="Tahoma"/>
      <family val="2"/>
    </font>
    <font>
      <sz val="11"/>
      <color theme="1"/>
      <name val="Myriad Pro"/>
      <family val="2"/>
    </font>
    <font>
      <u/>
      <sz val="11"/>
      <color theme="10"/>
      <name val="Calibri"/>
      <family val="2"/>
      <scheme val="minor"/>
    </font>
    <font>
      <u/>
      <sz val="11"/>
      <color theme="11"/>
      <name val="Calibri"/>
      <family val="2"/>
      <scheme val="minor"/>
    </font>
    <font>
      <b/>
      <sz val="11"/>
      <color theme="0" tint="-0.499984740745262"/>
      <name val="Myriad Pro"/>
      <family val="2"/>
    </font>
    <font>
      <sz val="11"/>
      <name val="Arial"/>
      <family val="2"/>
    </font>
    <font>
      <b/>
      <sz val="8"/>
      <color indexed="81"/>
      <name val="Tahoma"/>
      <family val="2"/>
    </font>
    <font>
      <sz val="11"/>
      <color theme="1"/>
      <name val="Calibri Light"/>
      <family val="2"/>
    </font>
    <font>
      <b/>
      <sz val="12"/>
      <color rgb="FF00A039"/>
      <name val="Calibri Light"/>
      <family val="2"/>
    </font>
    <font>
      <b/>
      <sz val="11"/>
      <color theme="1"/>
      <name val="Calibri Light"/>
      <family val="2"/>
    </font>
    <font>
      <i/>
      <sz val="11"/>
      <name val="Calibri Light"/>
      <family val="2"/>
    </font>
    <font>
      <sz val="11"/>
      <color rgb="FF3F3F76"/>
      <name val="Calibri Light"/>
      <family val="2"/>
    </font>
    <font>
      <b/>
      <sz val="11"/>
      <color rgb="FF95C11E"/>
      <name val="Calibri Light"/>
      <family val="2"/>
    </font>
    <font>
      <sz val="11"/>
      <color rgb="FFC00000"/>
      <name val="Calibri Light"/>
      <family val="2"/>
    </font>
    <font>
      <i/>
      <sz val="11"/>
      <color theme="1"/>
      <name val="Calibri Light"/>
      <family val="2"/>
    </font>
    <font>
      <sz val="11"/>
      <name val="Calibri Light"/>
      <family val="2"/>
    </font>
    <font>
      <b/>
      <sz val="12"/>
      <color rgb="FF225B83"/>
      <name val="Calibri Light"/>
      <family val="2"/>
    </font>
    <font>
      <sz val="11"/>
      <color rgb="FFFF0000"/>
      <name val="Calibri Light"/>
      <family val="2"/>
    </font>
    <font>
      <b/>
      <sz val="11"/>
      <color rgb="FF00B050"/>
      <name val="Calibri Light"/>
      <family val="2"/>
    </font>
    <font>
      <b/>
      <sz val="11"/>
      <color theme="1" tint="0.34998626667073579"/>
      <name val="Calibri Light"/>
      <family val="2"/>
    </font>
    <font>
      <sz val="10"/>
      <name val="Calibri Light"/>
      <family val="2"/>
    </font>
    <font>
      <b/>
      <sz val="12"/>
      <color rgb="FF003978"/>
      <name val="Calibri Light"/>
      <family val="2"/>
    </font>
    <font>
      <b/>
      <sz val="12"/>
      <color rgb="FF00B050"/>
      <name val="Calibri Light"/>
      <family val="2"/>
    </font>
    <font>
      <u/>
      <sz val="11"/>
      <color theme="10"/>
      <name val="Calibri Light"/>
      <family val="2"/>
    </font>
    <font>
      <b/>
      <sz val="12"/>
      <name val="Calibri Light"/>
      <family val="2"/>
    </font>
    <font>
      <b/>
      <sz val="14"/>
      <name val="Calibri Light"/>
      <family val="2"/>
    </font>
    <font>
      <sz val="14"/>
      <color theme="0"/>
      <name val="Calibri Light"/>
      <family val="2"/>
    </font>
    <font>
      <b/>
      <sz val="12"/>
      <color theme="0"/>
      <name val="Calibri Light"/>
      <family val="2"/>
    </font>
    <font>
      <b/>
      <sz val="11"/>
      <name val="Calibri Light"/>
      <family val="2"/>
    </font>
    <font>
      <b/>
      <sz val="14"/>
      <color theme="9" tint="-0.249977111117893"/>
      <name val="Calibri Light"/>
      <family val="2"/>
    </font>
    <font>
      <b/>
      <sz val="11"/>
      <color theme="2" tint="-0.749992370372631"/>
      <name val="Calibri Light"/>
      <family val="2"/>
    </font>
    <font>
      <sz val="12"/>
      <name val="Calibri Light"/>
      <family val="2"/>
    </font>
    <font>
      <b/>
      <sz val="11"/>
      <color rgb="FF00A039"/>
      <name val="Calibri Light"/>
      <family val="2"/>
    </font>
    <font>
      <b/>
      <sz val="11"/>
      <color rgb="FF1E7EAA"/>
      <name val="Calibri Light"/>
      <family val="2"/>
    </font>
    <font>
      <b/>
      <vertAlign val="subscript"/>
      <sz val="11"/>
      <name val="Calibri Light"/>
      <family val="2"/>
    </font>
    <font>
      <vertAlign val="superscript"/>
      <sz val="11"/>
      <name val="Calibri Light"/>
      <family val="2"/>
    </font>
    <font>
      <i/>
      <sz val="10"/>
      <name val="Calibri Light"/>
      <family val="2"/>
    </font>
    <font>
      <b/>
      <vertAlign val="subscript"/>
      <sz val="11"/>
      <color theme="1"/>
      <name val="Calibri Light"/>
      <family val="2"/>
    </font>
    <font>
      <b/>
      <sz val="12"/>
      <color theme="1"/>
      <name val="Calibri Light"/>
      <family val="2"/>
    </font>
    <font>
      <i/>
      <sz val="10"/>
      <color theme="1"/>
      <name val="Calibri Light"/>
      <family val="2"/>
    </font>
    <font>
      <b/>
      <i/>
      <sz val="11"/>
      <color theme="1"/>
      <name val="Calibri Light"/>
      <family val="2"/>
    </font>
    <font>
      <b/>
      <i/>
      <vertAlign val="subscript"/>
      <sz val="11"/>
      <color theme="1"/>
      <name val="Calibri Light"/>
      <family val="2"/>
    </font>
    <font>
      <i/>
      <sz val="11"/>
      <color rgb="FFFF0000"/>
      <name val="Calibri Light"/>
      <family val="2"/>
    </font>
    <font>
      <b/>
      <i/>
      <sz val="11"/>
      <name val="Calibri Light"/>
      <family val="2"/>
    </font>
    <font>
      <b/>
      <i/>
      <sz val="11"/>
      <color rgb="FF1E7EAA"/>
      <name val="Calibri Light"/>
      <family val="2"/>
    </font>
    <font>
      <b/>
      <sz val="12"/>
      <color rgb="FF000000"/>
      <name val="Calibri Light"/>
      <family val="2"/>
    </font>
    <font>
      <sz val="12"/>
      <color rgb="FF3F3F76"/>
      <name val="Calibri Light"/>
      <family val="2"/>
    </font>
    <font>
      <sz val="12"/>
      <color theme="0"/>
      <name val="Calibri Light"/>
      <family val="2"/>
    </font>
    <font>
      <sz val="11"/>
      <color theme="0"/>
      <name val="Calibri Light"/>
      <family val="2"/>
    </font>
    <font>
      <vertAlign val="superscript"/>
      <sz val="11"/>
      <color theme="1"/>
      <name val="Calibri Light"/>
      <family val="2"/>
    </font>
    <font>
      <vertAlign val="subscript"/>
      <sz val="11"/>
      <color theme="0"/>
      <name val="Calibri Light"/>
      <family val="2"/>
    </font>
    <font>
      <vertAlign val="subscript"/>
      <sz val="11"/>
      <color theme="1"/>
      <name val="Calibri Light"/>
      <family val="2"/>
    </font>
    <font>
      <b/>
      <sz val="11"/>
      <color theme="0"/>
      <name val="Calibri Light"/>
      <family val="2"/>
    </font>
    <font>
      <b/>
      <i/>
      <vertAlign val="subscript"/>
      <sz val="11"/>
      <name val="Calibri Light"/>
      <family val="2"/>
    </font>
    <font>
      <vertAlign val="subscript"/>
      <sz val="11"/>
      <name val="Calibri Light"/>
      <family val="2"/>
    </font>
    <font>
      <i/>
      <sz val="11"/>
      <color rgb="FF000000"/>
      <name val="Calibri Light"/>
      <family val="2"/>
    </font>
    <font>
      <b/>
      <i/>
      <sz val="11"/>
      <color rgb="FF000000"/>
      <name val="Calibri Light"/>
      <family val="2"/>
    </font>
    <font>
      <b/>
      <i/>
      <vertAlign val="subscript"/>
      <sz val="11"/>
      <color rgb="FF000000"/>
      <name val="Calibri Light"/>
      <family val="2"/>
    </font>
    <font>
      <sz val="11"/>
      <color rgb="FF000000"/>
      <name val="Calibri Light"/>
      <family val="2"/>
    </font>
    <font>
      <b/>
      <vertAlign val="subscript"/>
      <sz val="12"/>
      <color rgb="FF000000"/>
      <name val="Calibri Light"/>
      <family val="2"/>
    </font>
    <font>
      <b/>
      <vertAlign val="subscript"/>
      <sz val="12"/>
      <color theme="1"/>
      <name val="Calibri Light"/>
      <family val="2"/>
    </font>
    <font>
      <b/>
      <vertAlign val="subscript"/>
      <sz val="12"/>
      <name val="Calibri Light"/>
      <family val="2"/>
    </font>
    <font>
      <u/>
      <sz val="10"/>
      <color theme="10"/>
      <name val="Calibri Light"/>
      <family val="2"/>
    </font>
    <font>
      <i/>
      <vertAlign val="subscript"/>
      <sz val="11"/>
      <color theme="1"/>
      <name val="Calibri Light"/>
      <family val="2"/>
    </font>
    <font>
      <u/>
      <sz val="11"/>
      <name val="Calibri Light"/>
      <family val="2"/>
    </font>
    <font>
      <sz val="9"/>
      <color theme="1"/>
      <name val="Calibri Light"/>
      <family val="2"/>
    </font>
    <font>
      <sz val="12"/>
      <color theme="1"/>
      <name val="Calibri Light"/>
      <family val="2"/>
    </font>
    <font>
      <sz val="11"/>
      <color rgb="FFFDC300"/>
      <name val="Calibri Light"/>
      <family val="2"/>
    </font>
    <font>
      <sz val="14"/>
      <name val="Calibri Light"/>
      <family val="2"/>
    </font>
    <font>
      <b/>
      <sz val="14"/>
      <color theme="1"/>
      <name val="Calibri Light"/>
      <family val="2"/>
    </font>
    <font>
      <b/>
      <sz val="11"/>
      <color rgb="FFFF0000"/>
      <name val="Calibri Light"/>
      <family val="2"/>
    </font>
    <font>
      <sz val="10"/>
      <color rgb="FFFF0000"/>
      <name val="Calibri Light"/>
      <family val="2"/>
    </font>
    <font>
      <vertAlign val="subscript"/>
      <sz val="10"/>
      <name val="Calibri Light"/>
      <family val="2"/>
    </font>
    <font>
      <b/>
      <sz val="10"/>
      <name val="Calibri Light"/>
      <family val="2"/>
    </font>
    <font>
      <u/>
      <sz val="10"/>
      <name val="Calibri Light"/>
      <family val="2"/>
    </font>
    <font>
      <u/>
      <sz val="11"/>
      <color theme="1"/>
      <name val="Calibri Light"/>
      <family val="2"/>
    </font>
    <font>
      <sz val="11"/>
      <color theme="3" tint="-0.499984740745262"/>
      <name val="Calibri Light"/>
      <family val="2"/>
    </font>
    <font>
      <sz val="10"/>
      <color theme="3" tint="-0.499984740745262"/>
      <name val="Calibri Light"/>
      <family val="2"/>
    </font>
    <font>
      <i/>
      <vertAlign val="subscript"/>
      <sz val="11"/>
      <name val="Calibri Light"/>
      <family val="2"/>
    </font>
    <font>
      <b/>
      <sz val="11"/>
      <color theme="3" tint="-0.499984740745262"/>
      <name val="Calibri Light"/>
      <family val="2"/>
    </font>
    <font>
      <sz val="10"/>
      <color theme="1"/>
      <name val="Calibri Light"/>
      <family val="2"/>
    </font>
    <font>
      <b/>
      <i/>
      <sz val="12"/>
      <name val="Calibri Light"/>
      <family val="2"/>
    </font>
    <font>
      <sz val="8"/>
      <color theme="1"/>
      <name val="Calibri Light"/>
      <family val="2"/>
    </font>
    <font>
      <b/>
      <sz val="11"/>
      <color rgb="FF003978"/>
      <name val="Calibri Light"/>
      <family val="2"/>
    </font>
    <font>
      <b/>
      <i/>
      <sz val="11"/>
      <color theme="0"/>
      <name val="Calibri Light"/>
      <family val="2"/>
    </font>
    <font>
      <b/>
      <i/>
      <vertAlign val="subscript"/>
      <sz val="11"/>
      <color theme="0"/>
      <name val="Calibri Light"/>
      <family val="2"/>
    </font>
    <font>
      <i/>
      <sz val="11"/>
      <color theme="0"/>
      <name val="Calibri Light"/>
      <family val="2"/>
    </font>
    <font>
      <i/>
      <vertAlign val="subscript"/>
      <sz val="11"/>
      <color theme="0"/>
      <name val="Calibri Light"/>
      <family val="2"/>
    </font>
    <font>
      <i/>
      <sz val="12"/>
      <color theme="1"/>
      <name val="Calibri Light"/>
      <family val="2"/>
    </font>
    <font>
      <b/>
      <sz val="9"/>
      <color rgb="FF1E7EAA"/>
      <name val="Calibri Light"/>
      <family val="2"/>
    </font>
    <font>
      <sz val="9"/>
      <name val="Calibri Light"/>
      <family val="2"/>
    </font>
    <font>
      <sz val="11"/>
      <color rgb="FF003978"/>
      <name val="Calibri Light"/>
      <family val="2"/>
    </font>
    <font>
      <b/>
      <sz val="11"/>
      <color rgb="FF000000"/>
      <name val="Calibri Light"/>
      <family val="2"/>
    </font>
    <font>
      <b/>
      <vertAlign val="subscript"/>
      <sz val="11"/>
      <color rgb="FF000000"/>
      <name val="Calibri Light"/>
      <family val="2"/>
    </font>
    <font>
      <sz val="12"/>
      <color rgb="FF003978"/>
      <name val="Calibri Light"/>
      <family val="2"/>
    </font>
    <font>
      <sz val="8"/>
      <color rgb="FF000000"/>
      <name val="Segoe UI"/>
      <family val="2"/>
    </font>
    <font>
      <b/>
      <sz val="12"/>
      <color rgb="FF046433"/>
      <name val="Calibri Light"/>
      <family val="2"/>
    </font>
    <font>
      <b/>
      <sz val="11"/>
      <color rgb="FF046433"/>
      <name val="Calibri Light"/>
      <family val="2"/>
    </font>
    <font>
      <b/>
      <sz val="11"/>
      <color rgb="FF225B83"/>
      <name val="Calibri Light"/>
      <family val="2"/>
    </font>
    <font>
      <sz val="9"/>
      <color indexed="81"/>
      <name val="Calibri Light"/>
      <family val="2"/>
    </font>
    <font>
      <sz val="10"/>
      <color indexed="81"/>
      <name val="Calibri Light"/>
      <family val="2"/>
    </font>
    <font>
      <b/>
      <u/>
      <sz val="12"/>
      <color rgb="FF225B83"/>
      <name val="Calibri Light"/>
      <family val="2"/>
    </font>
    <font>
      <b/>
      <vertAlign val="subscript"/>
      <sz val="11"/>
      <color rgb="FF225B83"/>
      <name val="Calibri Light"/>
      <family val="2"/>
    </font>
    <font>
      <sz val="11"/>
      <color rgb="FF225B83"/>
      <name val="Calibri Light"/>
      <family val="2"/>
    </font>
    <font>
      <b/>
      <i/>
      <vertAlign val="subscript"/>
      <sz val="11"/>
      <color rgb="FF225B83"/>
      <name val="Calibri Light"/>
      <family val="2"/>
    </font>
    <font>
      <sz val="10"/>
      <color rgb="FF225B83"/>
      <name val="Calibri Light"/>
      <family val="2"/>
    </font>
    <font>
      <i/>
      <sz val="11"/>
      <color rgb="FF225B83"/>
      <name val="Calibri Light"/>
      <family val="2"/>
    </font>
    <font>
      <b/>
      <vertAlign val="subscript"/>
      <sz val="11"/>
      <color rgb="FF046433"/>
      <name val="Calibri Light"/>
      <family val="2"/>
    </font>
    <font>
      <b/>
      <u/>
      <sz val="11"/>
      <color rgb="FF046433"/>
      <name val="Calibri Light"/>
      <family val="2"/>
    </font>
    <font>
      <i/>
      <sz val="9"/>
      <color indexed="81"/>
      <name val="Calibri Light"/>
      <family val="2"/>
    </font>
    <font>
      <b/>
      <i/>
      <sz val="11"/>
      <color rgb="FF225B83"/>
      <name val="Calibri Light"/>
      <family val="2"/>
    </font>
    <font>
      <b/>
      <i/>
      <sz val="12"/>
      <color rgb="FF225B83"/>
      <name val="Calibri Light"/>
      <family val="2"/>
    </font>
    <font>
      <b/>
      <i/>
      <vertAlign val="subscript"/>
      <sz val="12"/>
      <color rgb="FF225B83"/>
      <name val="Calibri Light"/>
      <family val="2"/>
    </font>
    <font>
      <b/>
      <i/>
      <vertAlign val="subscript"/>
      <sz val="12"/>
      <color theme="0"/>
      <name val="Calibri Light"/>
      <family val="2"/>
    </font>
    <font>
      <b/>
      <vertAlign val="subscript"/>
      <sz val="12"/>
      <color theme="0"/>
      <name val="Calibri Light"/>
      <family val="2"/>
    </font>
    <font>
      <b/>
      <sz val="11"/>
      <color theme="1"/>
      <name val="Calibri"/>
      <family val="2"/>
      <scheme val="minor"/>
    </font>
    <font>
      <b/>
      <sz val="11"/>
      <color rgb="FFF6882E"/>
      <name val="Calibri Light"/>
      <family val="2"/>
    </font>
    <font>
      <sz val="10"/>
      <color theme="0"/>
      <name val="Calibri Light"/>
      <family val="2"/>
    </font>
    <font>
      <b/>
      <sz val="11"/>
      <color rgb="FFFDC300"/>
      <name val="Calibri Light"/>
      <family val="2"/>
    </font>
    <font>
      <b/>
      <vertAlign val="subscript"/>
      <sz val="11"/>
      <color theme="0"/>
      <name val="Calibri Light"/>
      <family val="2"/>
    </font>
    <font>
      <b/>
      <vertAlign val="superscript"/>
      <sz val="12"/>
      <color theme="0"/>
      <name val="Calibri Light"/>
      <family val="2"/>
    </font>
    <font>
      <b/>
      <i/>
      <sz val="12"/>
      <color theme="0"/>
      <name val="Calibri Light"/>
      <family val="2"/>
    </font>
    <font>
      <sz val="11"/>
      <color indexed="10"/>
      <name val="Calibri Light"/>
      <family val="2"/>
    </font>
    <font>
      <sz val="9"/>
      <color indexed="81"/>
      <name val="Segoe UI"/>
      <family val="2"/>
    </font>
    <font>
      <b/>
      <sz val="9"/>
      <color indexed="81"/>
      <name val="Segoe UI"/>
      <family val="2"/>
    </font>
    <font>
      <b/>
      <i/>
      <vertAlign val="subscript"/>
      <sz val="12"/>
      <name val="Calibri Light"/>
      <family val="2"/>
    </font>
    <font>
      <b/>
      <sz val="8"/>
      <name val="Calibri Light"/>
      <family val="2"/>
    </font>
    <font>
      <b/>
      <sz val="14"/>
      <color rgb="FF225B83"/>
      <name val="Calibri Light"/>
      <family val="2"/>
    </font>
  </fonts>
  <fills count="30">
    <fill>
      <patternFill patternType="none"/>
    </fill>
    <fill>
      <patternFill patternType="gray125"/>
    </fill>
    <fill>
      <patternFill patternType="solid">
        <fgColor rgb="FFFFCC99"/>
      </patternFill>
    </fill>
    <fill>
      <patternFill patternType="solid">
        <fgColor rgb="FFF2F2F2"/>
      </patternFill>
    </fill>
    <fill>
      <patternFill patternType="solid">
        <fgColor theme="6" tint="0.59999389629810485"/>
        <bgColor indexed="64"/>
      </patternFill>
    </fill>
    <fill>
      <patternFill patternType="solid">
        <fgColor theme="0"/>
        <bgColor indexed="64"/>
      </patternFill>
    </fill>
    <fill>
      <patternFill patternType="solid">
        <fgColor theme="6" tint="0.59999389629810485"/>
        <bgColor indexed="65"/>
      </patternFill>
    </fill>
    <fill>
      <patternFill patternType="solid">
        <fgColor indexed="50"/>
        <bgColor indexed="64"/>
      </patternFill>
    </fill>
    <fill>
      <patternFill patternType="solid">
        <fgColor theme="9" tint="0.59996337778862885"/>
        <bgColor indexed="64"/>
      </patternFill>
    </fill>
    <fill>
      <patternFill patternType="solid">
        <fgColor indexed="44"/>
        <bgColor indexed="64"/>
      </patternFill>
    </fill>
    <fill>
      <patternFill patternType="solid">
        <fgColor rgb="FFF7710D"/>
        <bgColor indexed="64"/>
      </patternFill>
    </fill>
    <fill>
      <patternFill patternType="solid">
        <fgColor rgb="FFFFFF00"/>
        <bgColor indexed="64"/>
      </patternFill>
    </fill>
    <fill>
      <patternFill patternType="solid">
        <fgColor indexed="30"/>
        <bgColor indexed="64"/>
      </patternFill>
    </fill>
    <fill>
      <patternFill patternType="solid">
        <fgColor indexed="22"/>
        <bgColor indexed="9"/>
      </patternFill>
    </fill>
    <fill>
      <patternFill patternType="solid">
        <fgColor indexed="22"/>
        <bgColor indexed="64"/>
      </patternFill>
    </fill>
    <fill>
      <patternFill patternType="darkTrellis"/>
    </fill>
    <fill>
      <patternFill patternType="solid">
        <fgColor indexed="22"/>
        <bgColor indexed="55"/>
      </patternFill>
    </fill>
    <fill>
      <patternFill patternType="solid">
        <fgColor rgb="FF003978"/>
        <bgColor indexed="64"/>
      </patternFill>
    </fill>
    <fill>
      <patternFill patternType="solid">
        <fgColor rgb="FFFFC000"/>
        <bgColor indexed="64"/>
      </patternFill>
    </fill>
    <fill>
      <patternFill patternType="solid">
        <fgColor rgb="FFFDC300"/>
        <bgColor indexed="64"/>
      </patternFill>
    </fill>
    <fill>
      <patternFill patternType="solid">
        <fgColor rgb="FF00A03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indexed="9"/>
        <bgColor indexed="64"/>
      </patternFill>
    </fill>
    <fill>
      <patternFill patternType="solid">
        <fgColor rgb="FF046433"/>
        <bgColor indexed="64"/>
      </patternFill>
    </fill>
    <fill>
      <patternFill patternType="solid">
        <fgColor rgb="FF225B83"/>
        <bgColor indexed="64"/>
      </patternFill>
    </fill>
    <fill>
      <patternFill patternType="solid">
        <fgColor rgb="FF1E7EA0"/>
        <bgColor indexed="64"/>
      </patternFill>
    </fill>
    <fill>
      <patternFill patternType="solid">
        <fgColor rgb="FF1E7EAA"/>
        <bgColor indexed="64"/>
      </patternFill>
    </fill>
    <fill>
      <patternFill patternType="solid">
        <fgColor theme="3"/>
        <bgColor indexed="64"/>
      </patternFill>
    </fill>
  </fills>
  <borders count="11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double">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right/>
      <top style="double">
        <color auto="1"/>
      </top>
      <bottom/>
      <diagonal/>
    </border>
    <border>
      <left style="thin">
        <color auto="1"/>
      </left>
      <right style="thin">
        <color auto="1"/>
      </right>
      <top/>
      <bottom style="thin">
        <color auto="1"/>
      </bottom>
      <diagonal/>
    </border>
    <border>
      <left/>
      <right/>
      <top style="medium">
        <color auto="1"/>
      </top>
      <bottom style="medium">
        <color auto="1"/>
      </bottom>
      <diagonal/>
    </border>
    <border>
      <left style="double">
        <color auto="1"/>
      </left>
      <right/>
      <top/>
      <bottom style="double">
        <color auto="1"/>
      </bottom>
      <diagonal/>
    </border>
    <border>
      <left style="double">
        <color auto="1"/>
      </left>
      <right/>
      <top style="double">
        <color auto="1"/>
      </top>
      <bottom/>
      <diagonal/>
    </border>
    <border>
      <left style="double">
        <color auto="1"/>
      </left>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indexed="22"/>
      </bottom>
      <diagonal/>
    </border>
    <border>
      <left/>
      <right/>
      <top/>
      <bottom style="hair">
        <color auto="1"/>
      </bottom>
      <diagonal/>
    </border>
    <border>
      <left/>
      <right/>
      <top/>
      <bottom style="thin">
        <color indexed="22"/>
      </bottom>
      <diagonal/>
    </border>
    <border>
      <left/>
      <right/>
      <top/>
      <bottom style="hair">
        <color indexed="8"/>
      </bottom>
      <diagonal/>
    </border>
    <border>
      <left/>
      <right style="thin">
        <color auto="1"/>
      </right>
      <top style="thin">
        <color auto="1"/>
      </top>
      <bottom style="thin">
        <color auto="1"/>
      </bottom>
      <diagonal/>
    </border>
    <border>
      <left style="medium">
        <color theme="0"/>
      </left>
      <right style="double">
        <color auto="1"/>
      </right>
      <top/>
      <bottom/>
      <diagonal/>
    </border>
    <border>
      <left/>
      <right/>
      <top style="medium">
        <color theme="0"/>
      </top>
      <bottom style="medium">
        <color auto="1"/>
      </bottom>
      <diagonal/>
    </border>
    <border>
      <left style="double">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medium">
        <color auto="1"/>
      </right>
      <top/>
      <bottom style="thin">
        <color auto="1"/>
      </bottom>
      <diagonal/>
    </border>
    <border>
      <left/>
      <right/>
      <top style="thin">
        <color auto="1"/>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diagonal/>
    </border>
    <border>
      <left style="medium">
        <color theme="0"/>
      </left>
      <right/>
      <top/>
      <bottom style="double">
        <color auto="1"/>
      </bottom>
      <diagonal/>
    </border>
    <border>
      <left/>
      <right style="medium">
        <color theme="0"/>
      </right>
      <top/>
      <bottom style="double">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style="double">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double">
        <color auto="1"/>
      </left>
      <right style="medium">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bottom/>
      <diagonal/>
    </border>
    <border>
      <left style="medium">
        <color auto="1"/>
      </left>
      <right style="double">
        <color auto="1"/>
      </right>
      <top/>
      <bottom/>
      <diagonal/>
    </border>
    <border>
      <left/>
      <right/>
      <top/>
      <bottom style="thin">
        <color auto="1"/>
      </bottom>
      <diagonal/>
    </border>
    <border>
      <left style="thin">
        <color auto="1"/>
      </left>
      <right style="medium">
        <color auto="1"/>
      </right>
      <top style="thin">
        <color auto="1"/>
      </top>
      <bottom/>
      <diagonal/>
    </border>
    <border>
      <left style="medium">
        <color auto="1"/>
      </left>
      <right style="medium">
        <color auto="1"/>
      </right>
      <top/>
      <bottom/>
      <diagonal/>
    </border>
    <border>
      <left/>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style="thin">
        <color auto="1"/>
      </left>
      <right style="thin">
        <color auto="1"/>
      </right>
      <top style="medium">
        <color auto="1"/>
      </top>
      <bottom/>
      <diagonal/>
    </border>
    <border>
      <left style="thick">
        <color theme="0"/>
      </left>
      <right style="thick">
        <color theme="0"/>
      </right>
      <top style="thick">
        <color theme="0"/>
      </top>
      <bottom style="thick">
        <color theme="0"/>
      </bottom>
      <diagonal/>
    </border>
    <border>
      <left style="thick">
        <color theme="0"/>
      </left>
      <right style="thick">
        <color theme="0"/>
      </right>
      <top/>
      <bottom style="thick">
        <color theme="0"/>
      </bottom>
      <diagonal/>
    </border>
    <border>
      <left/>
      <right style="thin">
        <color auto="1"/>
      </right>
      <top style="medium">
        <color auto="1"/>
      </top>
      <bottom/>
      <diagonal/>
    </border>
    <border>
      <left/>
      <right/>
      <top style="double">
        <color auto="1"/>
      </top>
      <bottom style="thin">
        <color auto="1"/>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
      <left/>
      <right style="double">
        <color auto="1"/>
      </right>
      <top style="thin">
        <color auto="1"/>
      </top>
      <bottom/>
      <diagonal/>
    </border>
    <border>
      <left style="double">
        <color auto="1"/>
      </left>
      <right/>
      <top style="thin">
        <color auto="1"/>
      </top>
      <bottom/>
      <diagonal/>
    </border>
    <border>
      <left/>
      <right/>
      <top style="thin">
        <color auto="1"/>
      </top>
      <bottom style="medium">
        <color theme="0"/>
      </bottom>
      <diagonal/>
    </border>
    <border>
      <left style="double">
        <color auto="1"/>
      </left>
      <right style="medium">
        <color theme="0"/>
      </right>
      <top/>
      <bottom/>
      <diagonal/>
    </border>
    <border>
      <left style="double">
        <color auto="1"/>
      </left>
      <right/>
      <top style="thin">
        <color indexed="64"/>
      </top>
      <bottom style="double">
        <color auto="1"/>
      </bottom>
      <diagonal/>
    </border>
    <border>
      <left/>
      <right style="double">
        <color auto="1"/>
      </right>
      <top style="thin">
        <color indexed="64"/>
      </top>
      <bottom style="double">
        <color auto="1"/>
      </bottom>
      <diagonal/>
    </border>
    <border>
      <left style="medium">
        <color indexed="64"/>
      </left>
      <right/>
      <top style="medium">
        <color indexed="64"/>
      </top>
      <bottom style="double">
        <color auto="1"/>
      </bottom>
      <diagonal/>
    </border>
    <border>
      <left/>
      <right/>
      <top style="medium">
        <color indexed="64"/>
      </top>
      <bottom style="double">
        <color auto="1"/>
      </bottom>
      <diagonal/>
    </border>
    <border>
      <left/>
      <right style="medium">
        <color indexed="64"/>
      </right>
      <top style="medium">
        <color indexed="64"/>
      </top>
      <bottom style="double">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50">
    <xf numFmtId="0" fontId="0" fillId="0" borderId="0"/>
    <xf numFmtId="0" fontId="1" fillId="2" borderId="1" applyNumberFormat="0" applyAlignment="0" applyProtection="0"/>
    <xf numFmtId="0" fontId="2" fillId="3" borderId="2" applyNumberFormat="0" applyAlignment="0" applyProtection="0"/>
    <xf numFmtId="44" fontId="3" fillId="0" borderId="0" applyFont="0" applyFill="0" applyBorder="0" applyAlignment="0" applyProtection="0"/>
    <xf numFmtId="49" fontId="5" fillId="0" borderId="11" applyNumberFormat="0" applyFont="0" applyFill="0" applyBorder="0" applyProtection="0">
      <alignment horizontal="left" vertical="center" indent="2"/>
    </xf>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49" fontId="5" fillId="0" borderId="13" applyNumberFormat="0" applyFont="0" applyFill="0" applyBorder="0" applyProtection="0">
      <alignment horizontal="left" vertical="center" indent="5"/>
    </xf>
    <xf numFmtId="0" fontId="6" fillId="7" borderId="0" applyNumberFormat="0" applyFont="0" applyBorder="0" applyAlignment="0" applyProtection="0"/>
    <xf numFmtId="4" fontId="7" fillId="0" borderId="26" applyFill="0" applyBorder="0" applyProtection="0">
      <alignment horizontal="right" vertical="center"/>
    </xf>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3" fontId="6" fillId="0" borderId="0" applyFont="0" applyFill="0" applyBorder="0" applyAlignment="0" applyProtection="0"/>
    <xf numFmtId="0" fontId="8" fillId="0" borderId="0">
      <alignment horizontal="left" vertical="center" wrapText="1"/>
    </xf>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3" fontId="9" fillId="0" borderId="47" applyAlignment="0">
      <alignment horizontal="right" vertical="center"/>
    </xf>
    <xf numFmtId="168" fontId="9" fillId="0" borderId="47">
      <alignment horizontal="right" vertical="center"/>
    </xf>
    <xf numFmtId="49" fontId="10" fillId="0" borderId="47">
      <alignment horizontal="left" vertical="center"/>
    </xf>
    <xf numFmtId="169" fontId="11" fillId="0" borderId="47" applyNumberFormat="0" applyFill="0">
      <alignment horizontal="right"/>
    </xf>
    <xf numFmtId="170" fontId="11" fillId="0" borderId="47">
      <alignment horizontal="right"/>
    </xf>
    <xf numFmtId="0" fontId="6" fillId="0" borderId="0" applyFont="0" applyFill="0" applyBorder="0" applyAlignment="0" applyProtection="0"/>
    <xf numFmtId="0" fontId="6" fillId="8" borderId="0" applyNumberFormat="0" applyFont="0" applyBorder="0" applyAlignment="0">
      <protection locked="0"/>
    </xf>
    <xf numFmtId="0" fontId="6" fillId="9" borderId="0" applyNumberFormat="0" applyFont="0" applyBorder="0" applyAlignment="0" applyProtection="0"/>
    <xf numFmtId="0" fontId="6" fillId="10" borderId="0" applyNumberFormat="0" applyFont="0" applyBorder="0" applyAlignment="0" applyProtection="0"/>
    <xf numFmtId="0" fontId="6" fillId="11" borderId="0" applyNumberFormat="0" applyFont="0" applyBorder="0" applyAlignment="0" applyProtection="0"/>
    <xf numFmtId="3" fontId="12" fillId="12" borderId="0" applyNumberFormat="0" applyFont="0" applyBorder="0" applyAlignment="0" applyProtection="0"/>
    <xf numFmtId="171" fontId="6" fillId="0" borderId="0" applyFont="0" applyFill="0" applyBorder="0" applyAlignment="0" applyProtection="0"/>
    <xf numFmtId="172" fontId="13" fillId="5" borderId="0" applyNumberFormat="0" applyBorder="0" applyAlignment="0">
      <alignment horizontal="left" vertical="center"/>
    </xf>
    <xf numFmtId="2" fontId="6" fillId="0" borderId="0" applyFont="0" applyFill="0" applyBorder="0" applyAlignment="0" applyProtection="0"/>
    <xf numFmtId="0" fontId="14" fillId="0" borderId="0" applyNumberFormat="0" applyFill="0" applyBorder="0" applyAlignment="0" applyProtection="0"/>
    <xf numFmtId="0" fontId="15" fillId="0" borderId="47">
      <alignment horizontal="left"/>
    </xf>
    <xf numFmtId="0" fontId="15" fillId="0" borderId="48">
      <alignment horizontal="right" vertical="center"/>
    </xf>
    <xf numFmtId="0" fontId="16" fillId="0" borderId="47">
      <alignment horizontal="left" vertical="center"/>
    </xf>
    <xf numFmtId="0" fontId="11" fillId="0" borderId="47">
      <alignment horizontal="left" vertical="center"/>
    </xf>
    <xf numFmtId="0" fontId="17" fillId="0" borderId="47">
      <alignment horizontal="left"/>
    </xf>
    <xf numFmtId="0" fontId="17" fillId="13" borderId="0">
      <alignment horizontal="centerContinuous" wrapText="1"/>
    </xf>
    <xf numFmtId="49" fontId="17" fillId="13" borderId="33">
      <alignment horizontal="left" vertical="center"/>
    </xf>
    <xf numFmtId="0" fontId="17" fillId="13" borderId="0">
      <alignment horizontal="centerContinuous" vertical="center" wrapText="1"/>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41" fontId="20" fillId="0" borderId="0" applyFont="0" applyFill="0" applyBorder="0" applyAlignment="0" applyProtection="0"/>
    <xf numFmtId="43" fontId="20" fillId="0" borderId="0" applyFont="0" applyFill="0" applyBorder="0" applyAlignment="0" applyProtection="0"/>
    <xf numFmtId="173" fontId="6" fillId="0" borderId="0" applyFont="0" applyFill="0" applyBorder="0" applyAlignment="0" applyProtection="0"/>
    <xf numFmtId="9" fontId="20" fillId="0" borderId="0" applyFont="0" applyFill="0" applyBorder="0" applyAlignment="0" applyProtection="0"/>
    <xf numFmtId="174" fontId="20" fillId="0" borderId="0" applyFont="0" applyFill="0" applyBorder="0" applyAlignment="0" applyProtection="0"/>
    <xf numFmtId="0" fontId="6" fillId="0" borderId="0"/>
    <xf numFmtId="0" fontId="21" fillId="0" borderId="0"/>
    <xf numFmtId="0" fontId="3"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49" fontId="7" fillId="0" borderId="11" applyNumberFormat="0" applyFill="0" applyBorder="0" applyProtection="0">
      <alignment horizontal="left" vertical="center"/>
    </xf>
    <xf numFmtId="0" fontId="5" fillId="0" borderId="11" applyNumberFormat="0" applyFill="0" applyAlignment="0" applyProtection="0"/>
    <xf numFmtId="0" fontId="22" fillId="14" borderId="0" applyNumberFormat="0" applyFont="0" applyBorder="0" applyAlignment="0" applyProtection="0"/>
    <xf numFmtId="175" fontId="5" fillId="15" borderId="11" applyNumberFormat="0" applyFont="0" applyBorder="0" applyAlignment="0" applyProtection="0">
      <alignment horizontal="right" vertical="center"/>
    </xf>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3" fontId="9" fillId="0" borderId="0">
      <alignment horizontal="left" vertical="center"/>
    </xf>
    <xf numFmtId="0" fontId="23" fillId="0" borderId="0">
      <alignment horizontal="left" vertical="center"/>
    </xf>
    <xf numFmtId="164" fontId="6" fillId="0" borderId="0" applyFont="0" applyFill="0" applyBorder="0" applyAlignment="0" applyProtection="0"/>
    <xf numFmtId="43" fontId="6" fillId="0" borderId="0" applyFont="0" applyFill="0" applyBorder="0" applyAlignment="0" applyProtection="0"/>
    <xf numFmtId="0" fontId="22" fillId="0" borderId="0">
      <alignment horizontal="right"/>
    </xf>
    <xf numFmtId="49" fontId="22" fillId="0" borderId="0">
      <alignment horizontal="center"/>
    </xf>
    <xf numFmtId="0" fontId="10" fillId="0" borderId="0">
      <alignment horizontal="right"/>
    </xf>
    <xf numFmtId="0" fontId="22" fillId="0" borderId="0">
      <alignment horizontal="left"/>
    </xf>
    <xf numFmtId="0" fontId="5" fillId="0" borderId="0"/>
    <xf numFmtId="49" fontId="9" fillId="0" borderId="0">
      <alignment horizontal="left" vertical="center"/>
    </xf>
    <xf numFmtId="49" fontId="10" fillId="0" borderId="49">
      <alignment horizontal="left" vertical="center"/>
    </xf>
    <xf numFmtId="49" fontId="23" fillId="0" borderId="49" applyFill="0">
      <alignment horizontal="left" vertical="center"/>
    </xf>
    <xf numFmtId="169" fontId="9" fillId="0" borderId="0" applyNumberFormat="0">
      <alignment horizontal="right"/>
    </xf>
    <xf numFmtId="0" fontId="15" fillId="16" borderId="0">
      <alignment horizontal="centerContinuous" vertical="center" wrapText="1"/>
    </xf>
    <xf numFmtId="0" fontId="15" fillId="0" borderId="50">
      <alignment horizontal="left" vertical="center"/>
    </xf>
    <xf numFmtId="0" fontId="24" fillId="0" borderId="0">
      <alignment horizontal="left" vertical="top"/>
    </xf>
    <xf numFmtId="0" fontId="17" fillId="0" borderId="0">
      <alignment horizontal="left"/>
    </xf>
    <xf numFmtId="0" fontId="8" fillId="0" borderId="0">
      <alignment horizontal="left"/>
    </xf>
    <xf numFmtId="0" fontId="11" fillId="0" borderId="0">
      <alignment horizontal="left"/>
    </xf>
    <xf numFmtId="0" fontId="24" fillId="0" borderId="0">
      <alignment horizontal="left" vertical="top"/>
    </xf>
    <xf numFmtId="0" fontId="8" fillId="0" borderId="0">
      <alignment horizontal="left"/>
    </xf>
    <xf numFmtId="0" fontId="11" fillId="0" borderId="0">
      <alignment horizontal="left"/>
    </xf>
    <xf numFmtId="43" fontId="3" fillId="0" borderId="0" applyFont="0" applyFill="0" applyBorder="0" applyAlignment="0" applyProtection="0"/>
    <xf numFmtId="43" fontId="6" fillId="0" borderId="0" applyFont="0" applyFill="0" applyBorder="0" applyAlignment="0" applyProtection="0"/>
    <xf numFmtId="49" fontId="9" fillId="0" borderId="49">
      <alignment horizontal="left"/>
    </xf>
    <xf numFmtId="0" fontId="15" fillId="0" borderId="48">
      <alignment horizontal="left"/>
    </xf>
    <xf numFmtId="0" fontId="17" fillId="0" borderId="0">
      <alignment horizontal="left" vertical="center"/>
    </xf>
    <xf numFmtId="49" fontId="22" fillId="0" borderId="49">
      <alignment horizontal="left"/>
    </xf>
    <xf numFmtId="0" fontId="5" fillId="0" borderId="0"/>
    <xf numFmtId="43" fontId="3" fillId="0" borderId="0" applyFont="0" applyFill="0" applyBorder="0" applyAlignment="0" applyProtection="0"/>
    <xf numFmtId="9" fontId="3"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cellStyleXfs>
  <cellXfs count="2125">
    <xf numFmtId="0" fontId="0" fillId="0" borderId="0" xfId="0"/>
    <xf numFmtId="0" fontId="0" fillId="0" borderId="0" xfId="0"/>
    <xf numFmtId="0" fontId="0" fillId="0" borderId="0" xfId="0" applyFill="1" applyAlignment="1">
      <alignment wrapText="1"/>
    </xf>
    <xf numFmtId="0" fontId="32" fillId="0" borderId="0" xfId="0" applyFont="1" applyFill="1" applyAlignment="1">
      <alignment horizontal="left"/>
    </xf>
    <xf numFmtId="0" fontId="32" fillId="20" borderId="0" xfId="0" applyFont="1" applyFill="1" applyAlignment="1">
      <alignment horizontal="left"/>
    </xf>
    <xf numFmtId="0" fontId="32" fillId="0" borderId="0" xfId="0" applyFont="1"/>
    <xf numFmtId="0" fontId="32" fillId="0" borderId="30" xfId="0" applyFont="1" applyBorder="1"/>
    <xf numFmtId="0" fontId="32" fillId="0" borderId="0" xfId="0" applyFont="1" applyBorder="1"/>
    <xf numFmtId="0" fontId="32" fillId="0" borderId="23" xfId="0" applyFont="1" applyBorder="1"/>
    <xf numFmtId="0" fontId="32" fillId="0" borderId="0" xfId="0" applyFont="1" applyFill="1"/>
    <xf numFmtId="0" fontId="34" fillId="5" borderId="54" xfId="0" applyFont="1" applyFill="1" applyBorder="1" applyAlignment="1">
      <alignment horizontal="left"/>
    </xf>
    <xf numFmtId="0" fontId="34" fillId="5" borderId="54" xfId="0" applyFont="1" applyFill="1" applyBorder="1"/>
    <xf numFmtId="0" fontId="34" fillId="5" borderId="30" xfId="0" applyFont="1" applyFill="1" applyBorder="1"/>
    <xf numFmtId="0" fontId="36" fillId="5" borderId="0" xfId="1" applyFont="1" applyFill="1" applyBorder="1"/>
    <xf numFmtId="0" fontId="32" fillId="5" borderId="0" xfId="0" applyFont="1" applyFill="1"/>
    <xf numFmtId="0" fontId="37" fillId="0" borderId="30" xfId="0" applyFont="1" applyFill="1" applyBorder="1" applyAlignment="1">
      <alignment horizontal="center"/>
    </xf>
    <xf numFmtId="0" fontId="37" fillId="0" borderId="0" xfId="0" applyFont="1" applyFill="1" applyBorder="1" applyAlignment="1">
      <alignment horizontal="center"/>
    </xf>
    <xf numFmtId="0" fontId="32" fillId="0" borderId="23" xfId="0" applyFont="1" applyFill="1" applyBorder="1"/>
    <xf numFmtId="0" fontId="32" fillId="22" borderId="12" xfId="0" applyFont="1" applyFill="1" applyBorder="1"/>
    <xf numFmtId="0" fontId="34" fillId="5" borderId="58" xfId="0" applyFont="1" applyFill="1" applyBorder="1" applyAlignment="1">
      <alignment horizontal="right"/>
    </xf>
    <xf numFmtId="0" fontId="32" fillId="5" borderId="0" xfId="0" applyFont="1" applyFill="1" applyBorder="1"/>
    <xf numFmtId="0" fontId="34" fillId="0" borderId="58" xfId="0" applyFont="1" applyFill="1" applyBorder="1" applyAlignment="1">
      <alignment horizontal="right"/>
    </xf>
    <xf numFmtId="0" fontId="34" fillId="11" borderId="54" xfId="0" applyFont="1" applyFill="1" applyBorder="1" applyAlignment="1">
      <alignment vertical="center"/>
    </xf>
    <xf numFmtId="0" fontId="36" fillId="22" borderId="12" xfId="1" applyFont="1" applyFill="1" applyBorder="1"/>
    <xf numFmtId="0" fontId="39" fillId="5" borderId="58" xfId="0" applyFont="1" applyFill="1" applyBorder="1" applyAlignment="1">
      <alignment horizontal="right"/>
    </xf>
    <xf numFmtId="0" fontId="34" fillId="5" borderId="54" xfId="0" applyFont="1" applyFill="1" applyBorder="1" applyAlignment="1">
      <alignment vertical="center"/>
    </xf>
    <xf numFmtId="0" fontId="40" fillId="22" borderId="12" xfId="1" applyFont="1" applyFill="1" applyBorder="1"/>
    <xf numFmtId="0" fontId="35" fillId="22" borderId="12" xfId="1" applyFont="1" applyFill="1" applyBorder="1"/>
    <xf numFmtId="0" fontId="34" fillId="5" borderId="54" xfId="0" applyFont="1" applyFill="1" applyBorder="1" applyAlignment="1">
      <alignment vertical="top" wrapText="1"/>
    </xf>
    <xf numFmtId="0" fontId="38" fillId="5" borderId="0" xfId="0" applyFont="1" applyFill="1" applyBorder="1" applyAlignment="1">
      <alignment horizontal="left" vertical="top" wrapText="1"/>
    </xf>
    <xf numFmtId="0" fontId="34" fillId="5" borderId="30" xfId="0" applyFont="1" applyFill="1" applyBorder="1" applyAlignment="1">
      <alignment vertical="center"/>
    </xf>
    <xf numFmtId="0" fontId="36" fillId="0" borderId="0" xfId="1" applyFont="1" applyFill="1" applyBorder="1"/>
    <xf numFmtId="0" fontId="36" fillId="0" borderId="23" xfId="1" applyFont="1" applyFill="1" applyBorder="1"/>
    <xf numFmtId="0" fontId="32" fillId="5" borderId="28" xfId="0" applyFont="1" applyFill="1" applyBorder="1"/>
    <xf numFmtId="0" fontId="32" fillId="5" borderId="21" xfId="0" applyFont="1" applyFill="1" applyBorder="1"/>
    <xf numFmtId="0" fontId="32" fillId="0" borderId="21" xfId="0" applyFont="1" applyBorder="1"/>
    <xf numFmtId="0" fontId="32" fillId="0" borderId="24" xfId="0" applyFont="1" applyBorder="1"/>
    <xf numFmtId="0" fontId="41" fillId="0" borderId="0" xfId="0" applyFont="1"/>
    <xf numFmtId="0" fontId="32" fillId="5" borderId="0" xfId="0" applyFont="1" applyFill="1" applyAlignment="1">
      <alignment vertical="top"/>
    </xf>
    <xf numFmtId="0" fontId="32" fillId="5" borderId="0" xfId="0" applyFont="1" applyFill="1" applyAlignment="1">
      <alignment vertical="top" wrapText="1"/>
    </xf>
    <xf numFmtId="0" fontId="34" fillId="22" borderId="0" xfId="0" applyFont="1" applyFill="1" applyAlignment="1">
      <alignment horizontal="center" vertical="top" wrapText="1"/>
    </xf>
    <xf numFmtId="0" fontId="32" fillId="0" borderId="0" xfId="0" applyFont="1" applyAlignment="1">
      <alignment horizontal="left" vertical="top"/>
    </xf>
    <xf numFmtId="0" fontId="45" fillId="0" borderId="0" xfId="0" applyFont="1" applyFill="1"/>
    <xf numFmtId="0" fontId="32" fillId="22" borderId="98" xfId="64" applyFont="1" applyFill="1" applyBorder="1">
      <protection locked="0"/>
    </xf>
    <xf numFmtId="0" fontId="40" fillId="0" borderId="0" xfId="0" applyFont="1" applyFill="1" applyBorder="1" applyAlignment="1">
      <alignment horizontal="left" vertical="center" indent="1"/>
    </xf>
    <xf numFmtId="0" fontId="45" fillId="0" borderId="0" xfId="0" applyFont="1" applyFill="1" applyBorder="1"/>
    <xf numFmtId="0" fontId="51" fillId="0" borderId="0" xfId="0" applyFont="1" applyFill="1"/>
    <xf numFmtId="0" fontId="52" fillId="5" borderId="0" xfId="0" applyFont="1" applyFill="1" applyAlignment="1"/>
    <xf numFmtId="0" fontId="52" fillId="0" borderId="0" xfId="0" applyFont="1" applyFill="1" applyAlignment="1"/>
    <xf numFmtId="0" fontId="51" fillId="17" borderId="0" xfId="0" applyFont="1" applyFill="1"/>
    <xf numFmtId="0" fontId="32" fillId="5" borderId="30" xfId="0" applyFont="1" applyFill="1" applyBorder="1"/>
    <xf numFmtId="0" fontId="53" fillId="0" borderId="0" xfId="0" applyFont="1" applyFill="1" applyBorder="1" applyAlignment="1"/>
    <xf numFmtId="0" fontId="54" fillId="5" borderId="0" xfId="0" applyFont="1" applyFill="1" applyBorder="1" applyAlignment="1">
      <alignment horizontal="center"/>
    </xf>
    <xf numFmtId="0" fontId="55" fillId="5" borderId="0" xfId="0" applyFont="1" applyFill="1" applyBorder="1" applyAlignment="1">
      <alignment horizontal="center"/>
    </xf>
    <xf numFmtId="0" fontId="56" fillId="0" borderId="23" xfId="0" applyFont="1" applyFill="1" applyBorder="1"/>
    <xf numFmtId="0" fontId="32" fillId="5" borderId="0" xfId="0" applyFont="1" applyFill="1" applyBorder="1" applyAlignment="1">
      <alignment horizontal="left" wrapText="1"/>
    </xf>
    <xf numFmtId="0" fontId="56" fillId="0" borderId="0" xfId="0" applyFont="1" applyFill="1"/>
    <xf numFmtId="0" fontId="56" fillId="0" borderId="0" xfId="0" applyFont="1" applyFill="1" applyBorder="1"/>
    <xf numFmtId="0" fontId="56" fillId="0" borderId="30" xfId="0" applyFont="1" applyFill="1" applyBorder="1"/>
    <xf numFmtId="0" fontId="33" fillId="0" borderId="0" xfId="0" applyFont="1" applyFill="1" applyBorder="1"/>
    <xf numFmtId="0" fontId="56" fillId="0" borderId="9" xfId="0" applyFont="1" applyFill="1" applyBorder="1"/>
    <xf numFmtId="0" fontId="57" fillId="0" borderId="4" xfId="0" applyFont="1" applyFill="1" applyBorder="1"/>
    <xf numFmtId="0" fontId="57" fillId="0" borderId="0" xfId="0" applyFont="1" applyFill="1" applyBorder="1" applyAlignment="1">
      <alignment horizontal="center"/>
    </xf>
    <xf numFmtId="0" fontId="57" fillId="0" borderId="7" xfId="0" applyFont="1" applyFill="1" applyBorder="1"/>
    <xf numFmtId="0" fontId="40" fillId="0" borderId="6" xfId="0" applyFont="1" applyFill="1" applyBorder="1" applyAlignment="1"/>
    <xf numFmtId="0" fontId="40" fillId="0" borderId="0" xfId="0" applyFont="1" applyFill="1" applyBorder="1" applyAlignment="1"/>
    <xf numFmtId="4" fontId="35" fillId="22" borderId="14" xfId="0" applyNumberFormat="1" applyFont="1" applyFill="1" applyBorder="1"/>
    <xf numFmtId="0" fontId="40" fillId="0" borderId="14" xfId="0" applyFont="1" applyFill="1" applyBorder="1" applyAlignment="1">
      <alignment horizontal="center"/>
    </xf>
    <xf numFmtId="0" fontId="61" fillId="22" borderId="18" xfId="0" applyFont="1" applyFill="1" applyBorder="1" applyAlignment="1">
      <alignment horizontal="left"/>
    </xf>
    <xf numFmtId="0" fontId="40" fillId="0" borderId="23" xfId="0" applyFont="1" applyFill="1" applyBorder="1"/>
    <xf numFmtId="0" fontId="32" fillId="0" borderId="6" xfId="0" applyFont="1" applyBorder="1" applyAlignment="1"/>
    <xf numFmtId="0" fontId="32" fillId="0" borderId="0" xfId="0" applyFont="1" applyBorder="1" applyAlignment="1"/>
    <xf numFmtId="4" fontId="35" fillId="22" borderId="94" xfId="0" applyNumberFormat="1" applyFont="1" applyFill="1" applyBorder="1"/>
    <xf numFmtId="0" fontId="40" fillId="0" borderId="94" xfId="0" applyFont="1" applyFill="1" applyBorder="1" applyAlignment="1">
      <alignment horizontal="center"/>
    </xf>
    <xf numFmtId="0" fontId="61" fillId="22" borderId="7" xfId="0" applyFont="1" applyFill="1" applyBorder="1" applyAlignment="1">
      <alignment horizontal="left"/>
    </xf>
    <xf numFmtId="4" fontId="35" fillId="0" borderId="0" xfId="0" applyNumberFormat="1" applyFont="1" applyFill="1" applyBorder="1"/>
    <xf numFmtId="0" fontId="61" fillId="5" borderId="71" xfId="0" applyFont="1" applyFill="1" applyBorder="1" applyAlignment="1">
      <alignment horizontal="left"/>
    </xf>
    <xf numFmtId="0" fontId="40" fillId="22" borderId="94" xfId="0" applyFont="1" applyFill="1" applyBorder="1" applyAlignment="1">
      <alignment horizontal="left"/>
    </xf>
    <xf numFmtId="0" fontId="40" fillId="0" borderId="0" xfId="0" applyFont="1" applyFill="1" applyBorder="1" applyAlignment="1">
      <alignment horizontal="center"/>
    </xf>
    <xf numFmtId="0" fontId="61" fillId="0" borderId="71" xfId="0" applyFont="1" applyFill="1" applyBorder="1" applyAlignment="1">
      <alignment horizontal="left"/>
    </xf>
    <xf numFmtId="0" fontId="61" fillId="0" borderId="18" xfId="0" applyFont="1" applyFill="1" applyBorder="1" applyAlignment="1">
      <alignment horizontal="left"/>
    </xf>
    <xf numFmtId="178" fontId="56" fillId="0" borderId="0" xfId="135" applyNumberFormat="1" applyFont="1" applyFill="1" applyBorder="1"/>
    <xf numFmtId="0" fontId="40" fillId="0" borderId="6" xfId="0" applyFont="1" applyBorder="1" applyAlignment="1"/>
    <xf numFmtId="0" fontId="58" fillId="0" borderId="0" xfId="0" applyFont="1" applyFill="1" applyBorder="1" applyAlignment="1"/>
    <xf numFmtId="43" fontId="35" fillId="22" borderId="14" xfId="135" applyNumberFormat="1" applyFont="1" applyFill="1" applyBorder="1"/>
    <xf numFmtId="0" fontId="58" fillId="0" borderId="14" xfId="0" applyFont="1" applyFill="1" applyBorder="1" applyAlignment="1"/>
    <xf numFmtId="43" fontId="35" fillId="22" borderId="94" xfId="135" applyNumberFormat="1" applyFont="1" applyFill="1" applyBorder="1"/>
    <xf numFmtId="0" fontId="61" fillId="22" borderId="95" xfId="0" applyFont="1" applyFill="1" applyBorder="1" applyAlignment="1">
      <alignment horizontal="left"/>
    </xf>
    <xf numFmtId="0" fontId="32" fillId="0" borderId="8" xfId="0" applyFont="1" applyBorder="1" applyAlignment="1"/>
    <xf numFmtId="0" fontId="32" fillId="0" borderId="9" xfId="0" applyFont="1" applyBorder="1" applyAlignment="1"/>
    <xf numFmtId="43" fontId="35" fillId="22" borderId="70" xfId="0" applyNumberFormat="1" applyFont="1" applyFill="1" applyBorder="1"/>
    <xf numFmtId="0" fontId="40" fillId="0" borderId="70" xfId="0" applyFont="1" applyFill="1" applyBorder="1" applyAlignment="1">
      <alignment horizontal="center"/>
    </xf>
    <xf numFmtId="0" fontId="61" fillId="22" borderId="78" xfId="0" applyFont="1" applyFill="1" applyBorder="1" applyAlignment="1">
      <alignment horizontal="left"/>
    </xf>
    <xf numFmtId="0" fontId="49" fillId="0" borderId="0" xfId="0" applyFont="1" applyFill="1" applyBorder="1"/>
    <xf numFmtId="0" fontId="49" fillId="19" borderId="3" xfId="0" applyFont="1" applyFill="1" applyBorder="1" applyAlignment="1">
      <alignment vertical="center"/>
    </xf>
    <xf numFmtId="4" fontId="49" fillId="19" borderId="4" xfId="135" applyNumberFormat="1" applyFont="1" applyFill="1" applyBorder="1" applyAlignment="1">
      <alignment horizontal="right" vertical="center"/>
    </xf>
    <xf numFmtId="0" fontId="49" fillId="19" borderId="5" xfId="0" applyFont="1" applyFill="1" applyBorder="1" applyAlignment="1">
      <alignment vertical="center"/>
    </xf>
    <xf numFmtId="0" fontId="49" fillId="19" borderId="8" xfId="0" applyFont="1" applyFill="1" applyBorder="1"/>
    <xf numFmtId="4" fontId="49" fillId="19" borderId="9" xfId="135" applyNumberFormat="1" applyFont="1" applyFill="1" applyBorder="1" applyAlignment="1">
      <alignment horizontal="right"/>
    </xf>
    <xf numFmtId="0" fontId="49" fillId="19" borderId="10" xfId="0" applyFont="1" applyFill="1" applyBorder="1" applyAlignment="1"/>
    <xf numFmtId="0" fontId="49" fillId="0" borderId="0" xfId="0" applyFont="1" applyFill="1" applyBorder="1" applyAlignment="1">
      <alignment vertical="center"/>
    </xf>
    <xf numFmtId="43" fontId="49" fillId="0" borderId="0" xfId="135" applyFont="1" applyFill="1" applyBorder="1" applyAlignment="1">
      <alignment horizontal="right" vertical="center"/>
    </xf>
    <xf numFmtId="182" fontId="49" fillId="0" borderId="0" xfId="2" applyNumberFormat="1" applyFont="1" applyFill="1" applyBorder="1" applyAlignment="1">
      <alignment vertical="center"/>
    </xf>
    <xf numFmtId="182" fontId="49" fillId="0" borderId="0" xfId="0" applyNumberFormat="1" applyFont="1" applyFill="1" applyBorder="1" applyAlignment="1"/>
    <xf numFmtId="4" fontId="49" fillId="0" borderId="0" xfId="135" applyNumberFormat="1" applyFont="1" applyFill="1" applyBorder="1" applyAlignment="1">
      <alignment horizontal="right"/>
    </xf>
    <xf numFmtId="0" fontId="49" fillId="0" borderId="0" xfId="0" applyFont="1" applyFill="1" applyBorder="1" applyAlignment="1"/>
    <xf numFmtId="0" fontId="56" fillId="0" borderId="106" xfId="0" applyFont="1" applyFill="1" applyBorder="1"/>
    <xf numFmtId="0" fontId="56" fillId="0" borderId="56" xfId="0" applyFont="1" applyFill="1" applyBorder="1"/>
    <xf numFmtId="0" fontId="49" fillId="0" borderId="56" xfId="0" applyFont="1" applyFill="1" applyBorder="1"/>
    <xf numFmtId="3" fontId="56" fillId="0" borderId="56" xfId="0" applyNumberFormat="1" applyFont="1" applyFill="1" applyBorder="1" applyAlignment="1">
      <alignment horizontal="center"/>
    </xf>
    <xf numFmtId="0" fontId="56" fillId="0" borderId="56" xfId="0" applyFont="1" applyFill="1" applyBorder="1" applyAlignment="1">
      <alignment horizontal="center"/>
    </xf>
    <xf numFmtId="0" fontId="56" fillId="0" borderId="105" xfId="0" applyFont="1" applyFill="1" applyBorder="1"/>
    <xf numFmtId="0" fontId="40" fillId="5" borderId="0" xfId="0" applyFont="1" applyFill="1" applyBorder="1"/>
    <xf numFmtId="0" fontId="46" fillId="0" borderId="0" xfId="0" applyFont="1" applyBorder="1" applyAlignment="1">
      <alignment horizontal="center"/>
    </xf>
    <xf numFmtId="0" fontId="53" fillId="19" borderId="14" xfId="0" applyFont="1" applyFill="1" applyBorder="1" applyAlignment="1">
      <alignment horizontal="center"/>
    </xf>
    <xf numFmtId="0" fontId="53" fillId="19" borderId="18" xfId="0" applyFont="1" applyFill="1" applyBorder="1" applyAlignment="1">
      <alignment horizontal="center"/>
    </xf>
    <xf numFmtId="4" fontId="61" fillId="22" borderId="11" xfId="0" applyNumberFormat="1" applyFont="1" applyFill="1" applyBorder="1" applyAlignment="1">
      <alignment horizontal="center" vertical="center"/>
    </xf>
    <xf numFmtId="4" fontId="64" fillId="22" borderId="12" xfId="0" applyNumberFormat="1" applyFont="1" applyFill="1" applyBorder="1" applyAlignment="1">
      <alignment horizontal="center" vertical="center"/>
    </xf>
    <xf numFmtId="4" fontId="64" fillId="22" borderId="11" xfId="0" applyNumberFormat="1" applyFont="1" applyFill="1" applyBorder="1" applyAlignment="1">
      <alignment horizontal="center" vertical="center"/>
    </xf>
    <xf numFmtId="4" fontId="64" fillId="22" borderId="37" xfId="0" applyNumberFormat="1" applyFont="1" applyFill="1" applyBorder="1" applyAlignment="1">
      <alignment horizontal="center" vertical="center"/>
    </xf>
    <xf numFmtId="0" fontId="49" fillId="0" borderId="30" xfId="0" applyFont="1" applyFill="1" applyBorder="1" applyAlignment="1"/>
    <xf numFmtId="0" fontId="49" fillId="0" borderId="23" xfId="0" applyFont="1" applyFill="1" applyBorder="1" applyAlignment="1"/>
    <xf numFmtId="0" fontId="53" fillId="5" borderId="0" xfId="0" applyFont="1" applyFill="1" applyBorder="1" applyAlignment="1"/>
    <xf numFmtId="4" fontId="61" fillId="22" borderId="39" xfId="0" applyNumberFormat="1" applyFont="1" applyFill="1" applyBorder="1" applyAlignment="1">
      <alignment horizontal="center" vertical="center"/>
    </xf>
    <xf numFmtId="4" fontId="64" fillId="22" borderId="39" xfId="0" applyNumberFormat="1" applyFont="1" applyFill="1" applyBorder="1" applyAlignment="1">
      <alignment horizontal="center" vertical="center"/>
    </xf>
    <xf numFmtId="4" fontId="64" fillId="22" borderId="76" xfId="0" applyNumberFormat="1" applyFont="1" applyFill="1" applyBorder="1" applyAlignment="1">
      <alignment horizontal="center" vertical="center"/>
    </xf>
    <xf numFmtId="4" fontId="64" fillId="22" borderId="40" xfId="0" applyNumberFormat="1" applyFont="1" applyFill="1" applyBorder="1" applyAlignment="1">
      <alignment horizontal="center" vertical="center"/>
    </xf>
    <xf numFmtId="0" fontId="32" fillId="0" borderId="28" xfId="0" applyFont="1" applyBorder="1"/>
    <xf numFmtId="0" fontId="40" fillId="5" borderId="30" xfId="0" applyFont="1" applyFill="1" applyBorder="1"/>
    <xf numFmtId="0" fontId="53" fillId="5" borderId="0" xfId="0" applyFont="1" applyFill="1" applyBorder="1"/>
    <xf numFmtId="0" fontId="50" fillId="5" borderId="0" xfId="0" applyFont="1" applyFill="1" applyBorder="1" applyAlignment="1">
      <alignment horizontal="center"/>
    </xf>
    <xf numFmtId="0" fontId="53" fillId="5" borderId="0" xfId="0" applyFont="1" applyFill="1" applyBorder="1" applyAlignment="1">
      <alignment horizontal="center"/>
    </xf>
    <xf numFmtId="0" fontId="53" fillId="5" borderId="23" xfId="0" applyFont="1" applyFill="1" applyBorder="1" applyAlignment="1">
      <alignment horizontal="center"/>
    </xf>
    <xf numFmtId="0" fontId="40" fillId="5" borderId="0" xfId="0" applyFont="1" applyFill="1" applyBorder="1" applyAlignment="1">
      <alignment wrapText="1"/>
    </xf>
    <xf numFmtId="0" fontId="40" fillId="5" borderId="0" xfId="0" applyFont="1" applyFill="1"/>
    <xf numFmtId="0" fontId="40" fillId="5" borderId="23" xfId="0" applyFont="1" applyFill="1" applyBorder="1"/>
    <xf numFmtId="0" fontId="35" fillId="22" borderId="103" xfId="0" applyFont="1" applyFill="1" applyBorder="1" applyAlignment="1">
      <alignment horizontal="center"/>
    </xf>
    <xf numFmtId="0" fontId="45" fillId="0" borderId="95" xfId="0" applyFont="1" applyFill="1" applyBorder="1" applyAlignment="1">
      <alignment horizontal="center"/>
    </xf>
    <xf numFmtId="0" fontId="32" fillId="0" borderId="6" xfId="0" applyFont="1" applyBorder="1" applyAlignment="1">
      <alignment vertical="center"/>
    </xf>
    <xf numFmtId="0" fontId="39" fillId="0" borderId="0" xfId="0" applyFont="1" applyBorder="1" applyAlignment="1">
      <alignment vertical="center"/>
    </xf>
    <xf numFmtId="0" fontId="67" fillId="0" borderId="0" xfId="0" applyFont="1" applyBorder="1" applyAlignment="1">
      <alignment vertical="center"/>
    </xf>
    <xf numFmtId="4" fontId="35" fillId="22" borderId="14" xfId="0" applyNumberFormat="1" applyFont="1" applyFill="1" applyBorder="1" applyAlignment="1">
      <alignment horizontal="center"/>
    </xf>
    <xf numFmtId="0" fontId="40" fillId="22" borderId="18" xfId="0" applyFont="1" applyFill="1" applyBorder="1"/>
    <xf numFmtId="0" fontId="40" fillId="0" borderId="6" xfId="0" applyFont="1" applyBorder="1"/>
    <xf numFmtId="0" fontId="42" fillId="5" borderId="0" xfId="0" applyFont="1" applyFill="1" applyBorder="1"/>
    <xf numFmtId="0" fontId="40" fillId="5" borderId="14" xfId="0" applyFont="1" applyFill="1" applyBorder="1"/>
    <xf numFmtId="0" fontId="53" fillId="0" borderId="6" xfId="0" applyFont="1" applyBorder="1"/>
    <xf numFmtId="43" fontId="35" fillId="5" borderId="14" xfId="135" applyFont="1" applyFill="1" applyBorder="1" applyAlignment="1">
      <alignment horizontal="center"/>
    </xf>
    <xf numFmtId="0" fontId="69" fillId="0" borderId="14" xfId="0" applyFont="1" applyFill="1" applyBorder="1" applyAlignment="1"/>
    <xf numFmtId="0" fontId="40" fillId="5" borderId="18" xfId="0" applyFont="1" applyFill="1" applyBorder="1"/>
    <xf numFmtId="0" fontId="39" fillId="0" borderId="6" xfId="0" applyFont="1" applyBorder="1"/>
    <xf numFmtId="4" fontId="40" fillId="22" borderId="103" xfId="0" applyNumberFormat="1" applyFont="1" applyFill="1" applyBorder="1"/>
    <xf numFmtId="0" fontId="45" fillId="5" borderId="18" xfId="0" applyFont="1" applyFill="1" applyBorder="1"/>
    <xf numFmtId="0" fontId="40" fillId="5" borderId="7" xfId="0" applyFont="1" applyFill="1" applyBorder="1"/>
    <xf numFmtId="0" fontId="39" fillId="0" borderId="6" xfId="0" applyFont="1" applyBorder="1" applyAlignment="1">
      <alignment horizontal="left"/>
    </xf>
    <xf numFmtId="0" fontId="39" fillId="0" borderId="0" xfId="0" applyFont="1" applyBorder="1" applyAlignment="1">
      <alignment horizontal="left"/>
    </xf>
    <xf numFmtId="0" fontId="35" fillId="22" borderId="14" xfId="0" applyFont="1" applyFill="1" applyBorder="1" applyAlignment="1">
      <alignment horizontal="center" vertical="center"/>
    </xf>
    <xf numFmtId="0" fontId="45" fillId="0" borderId="18" xfId="0" applyFont="1" applyFill="1" applyBorder="1"/>
    <xf numFmtId="0" fontId="45" fillId="22" borderId="18" xfId="0" applyFont="1" applyFill="1" applyBorder="1"/>
    <xf numFmtId="4" fontId="35" fillId="5" borderId="14" xfId="0" applyNumberFormat="1" applyFont="1" applyFill="1" applyBorder="1" applyAlignment="1">
      <alignment horizontal="center"/>
    </xf>
    <xf numFmtId="0" fontId="40" fillId="22" borderId="14" xfId="0" applyFont="1" applyFill="1" applyBorder="1"/>
    <xf numFmtId="0" fontId="40" fillId="5" borderId="14" xfId="0" applyFont="1" applyFill="1" applyBorder="1" applyAlignment="1">
      <alignment vertical="center"/>
    </xf>
    <xf numFmtId="0" fontId="45" fillId="5" borderId="18" xfId="0" applyFont="1" applyFill="1" applyBorder="1" applyAlignment="1">
      <alignment horizontal="center" vertical="center"/>
    </xf>
    <xf numFmtId="3" fontId="35" fillId="22" borderId="14" xfId="0" applyNumberFormat="1" applyFont="1" applyFill="1" applyBorder="1" applyAlignment="1">
      <alignment horizontal="center" vertical="center"/>
    </xf>
    <xf numFmtId="0" fontId="40" fillId="22" borderId="14" xfId="0" applyFont="1" applyFill="1" applyBorder="1" applyAlignment="1">
      <alignment horizontal="center" vertical="center"/>
    </xf>
    <xf numFmtId="0" fontId="45" fillId="22" borderId="18" xfId="0" applyFont="1" applyFill="1" applyBorder="1" applyAlignment="1">
      <alignment horizontal="center" vertical="center" wrapText="1"/>
    </xf>
    <xf numFmtId="4" fontId="35" fillId="22" borderId="14" xfId="0" applyNumberFormat="1" applyFont="1" applyFill="1" applyBorder="1" applyAlignment="1">
      <alignment horizontal="center" vertical="center"/>
    </xf>
    <xf numFmtId="4" fontId="35" fillId="22" borderId="9" xfId="0" applyNumberFormat="1" applyFont="1" applyFill="1" applyBorder="1" applyAlignment="1">
      <alignment horizontal="center"/>
    </xf>
    <xf numFmtId="0" fontId="45" fillId="5" borderId="10" xfId="0" applyFont="1" applyFill="1" applyBorder="1"/>
    <xf numFmtId="0" fontId="46" fillId="0" borderId="30" xfId="0" applyFont="1" applyBorder="1" applyAlignment="1">
      <alignment horizontal="center"/>
    </xf>
    <xf numFmtId="0" fontId="46" fillId="0" borderId="0" xfId="0" applyFont="1" applyAlignment="1">
      <alignment horizontal="center"/>
    </xf>
    <xf numFmtId="0" fontId="46" fillId="0" borderId="23" xfId="0" applyFont="1" applyBorder="1" applyAlignment="1">
      <alignment horizontal="center"/>
    </xf>
    <xf numFmtId="0" fontId="53" fillId="5" borderId="42" xfId="0" applyFont="1" applyFill="1" applyBorder="1" applyAlignment="1"/>
    <xf numFmtId="0" fontId="49" fillId="5" borderId="42" xfId="0" applyFont="1" applyFill="1" applyBorder="1" applyAlignment="1"/>
    <xf numFmtId="0" fontId="53" fillId="5" borderId="41" xfId="0" applyFont="1" applyFill="1" applyBorder="1" applyAlignment="1"/>
    <xf numFmtId="0" fontId="53" fillId="5" borderId="43" xfId="0" applyFont="1" applyFill="1" applyBorder="1" applyAlignment="1"/>
    <xf numFmtId="0" fontId="46" fillId="0" borderId="84" xfId="0" applyFont="1" applyBorder="1" applyAlignment="1">
      <alignment horizontal="center"/>
    </xf>
    <xf numFmtId="0" fontId="70" fillId="19" borderId="3" xfId="0" applyFont="1" applyFill="1" applyBorder="1"/>
    <xf numFmtId="0" fontId="63" fillId="19" borderId="6" xfId="0" applyFont="1" applyFill="1" applyBorder="1"/>
    <xf numFmtId="185" fontId="49" fillId="18" borderId="0" xfId="3" applyNumberFormat="1" applyFont="1" applyFill="1" applyBorder="1" applyAlignment="1">
      <alignment horizontal="right"/>
    </xf>
    <xf numFmtId="0" fontId="46" fillId="0" borderId="108" xfId="0" applyFont="1" applyBorder="1" applyAlignment="1">
      <alignment horizontal="center"/>
    </xf>
    <xf numFmtId="0" fontId="63" fillId="19" borderId="8" xfId="0" applyFont="1" applyFill="1" applyBorder="1"/>
    <xf numFmtId="185" fontId="49" fillId="18" borderId="9" xfId="3" applyNumberFormat="1" applyFont="1" applyFill="1" applyBorder="1" applyAlignment="1">
      <alignment horizontal="right"/>
    </xf>
    <xf numFmtId="0" fontId="63" fillId="0" borderId="0" xfId="0" applyFont="1" applyBorder="1"/>
    <xf numFmtId="0" fontId="49" fillId="19" borderId="11" xfId="0" applyFont="1" applyFill="1" applyBorder="1" applyAlignment="1">
      <alignment horizontal="center"/>
    </xf>
    <xf numFmtId="0" fontId="49" fillId="19" borderId="37" xfId="0" applyFont="1" applyFill="1" applyBorder="1" applyAlignment="1">
      <alignment horizontal="center"/>
    </xf>
    <xf numFmtId="9" fontId="35" fillId="22" borderId="11" xfId="0" applyNumberFormat="1" applyFont="1" applyFill="1" applyBorder="1" applyAlignment="1">
      <alignment horizontal="center"/>
    </xf>
    <xf numFmtId="4" fontId="35" fillId="22" borderId="11" xfId="0" applyNumberFormat="1" applyFont="1" applyFill="1" applyBorder="1" applyAlignment="1">
      <alignment horizontal="center"/>
    </xf>
    <xf numFmtId="3" fontId="35" fillId="22" borderId="11" xfId="0" applyNumberFormat="1" applyFont="1" applyFill="1" applyBorder="1" applyAlignment="1">
      <alignment horizontal="center"/>
    </xf>
    <xf numFmtId="0" fontId="35" fillId="22" borderId="11" xfId="0" applyFont="1" applyFill="1" applyBorder="1" applyAlignment="1">
      <alignment horizontal="center"/>
    </xf>
    <xf numFmtId="4" fontId="39" fillId="22" borderId="11" xfId="0" applyNumberFormat="1" applyFont="1" applyFill="1" applyBorder="1" applyAlignment="1">
      <alignment horizontal="center"/>
    </xf>
    <xf numFmtId="4" fontId="32" fillId="22" borderId="11" xfId="0" applyNumberFormat="1" applyFont="1" applyFill="1" applyBorder="1" applyAlignment="1">
      <alignment horizontal="center"/>
    </xf>
    <xf numFmtId="4" fontId="40" fillId="22" borderId="11" xfId="0" applyNumberFormat="1" applyFont="1" applyFill="1" applyBorder="1" applyAlignment="1">
      <alignment horizontal="center"/>
    </xf>
    <xf numFmtId="0" fontId="53" fillId="5" borderId="30" xfId="0" applyFont="1" applyFill="1" applyBorder="1" applyAlignment="1"/>
    <xf numFmtId="0" fontId="53" fillId="5" borderId="23" xfId="0" applyFont="1" applyFill="1" applyBorder="1" applyAlignment="1"/>
    <xf numFmtId="4" fontId="40" fillId="22" borderId="39" xfId="0" applyNumberFormat="1" applyFont="1" applyFill="1" applyBorder="1" applyAlignment="1">
      <alignment horizontal="center"/>
    </xf>
    <xf numFmtId="4" fontId="32" fillId="22" borderId="39" xfId="0" applyNumberFormat="1" applyFont="1" applyFill="1" applyBorder="1" applyAlignment="1">
      <alignment horizontal="center"/>
    </xf>
    <xf numFmtId="3" fontId="35" fillId="5" borderId="0" xfId="0" applyNumberFormat="1" applyFont="1" applyFill="1" applyBorder="1" applyAlignment="1">
      <alignment horizontal="center"/>
    </xf>
    <xf numFmtId="182" fontId="34" fillId="5" borderId="0" xfId="0" applyNumberFormat="1" applyFont="1" applyFill="1" applyBorder="1" applyAlignment="1">
      <alignment horizontal="center"/>
    </xf>
    <xf numFmtId="0" fontId="53" fillId="5" borderId="28" xfId="0" applyFont="1" applyFill="1" applyBorder="1" applyAlignment="1"/>
    <xf numFmtId="0" fontId="53" fillId="5" borderId="72" xfId="0" applyFont="1" applyFill="1" applyBorder="1" applyAlignment="1"/>
    <xf numFmtId="0" fontId="40" fillId="5" borderId="21" xfId="0" applyFont="1" applyFill="1" applyBorder="1"/>
    <xf numFmtId="0" fontId="53" fillId="5" borderId="21" xfId="0" applyFont="1" applyFill="1" applyBorder="1" applyAlignment="1"/>
    <xf numFmtId="0" fontId="53" fillId="5" borderId="73" xfId="0" applyFont="1" applyFill="1" applyBorder="1" applyAlignment="1"/>
    <xf numFmtId="0" fontId="53" fillId="5" borderId="24" xfId="0" applyFont="1" applyFill="1" applyBorder="1" applyAlignment="1"/>
    <xf numFmtId="0" fontId="32" fillId="0" borderId="0" xfId="0" applyFont="1" applyBorder="1" applyAlignment="1">
      <alignment horizontal="left" wrapText="1"/>
    </xf>
    <xf numFmtId="0" fontId="39" fillId="0" borderId="6" xfId="0" applyFont="1" applyBorder="1" applyAlignment="1">
      <alignment horizontal="left" vertical="center"/>
    </xf>
    <xf numFmtId="0" fontId="46" fillId="0" borderId="30" xfId="0" applyFont="1" applyBorder="1" applyAlignment="1">
      <alignment horizontal="center"/>
    </xf>
    <xf numFmtId="0" fontId="46" fillId="0" borderId="0" xfId="0" applyFont="1" applyBorder="1" applyAlignment="1">
      <alignment horizontal="center"/>
    </xf>
    <xf numFmtId="0" fontId="46" fillId="0" borderId="23" xfId="0" applyFont="1" applyBorder="1" applyAlignment="1">
      <alignment horizontal="center"/>
    </xf>
    <xf numFmtId="0" fontId="71" fillId="22" borderId="12" xfId="1" applyFont="1" applyFill="1" applyBorder="1" applyAlignment="1">
      <alignment vertical="center"/>
    </xf>
    <xf numFmtId="0" fontId="32" fillId="0" borderId="0" xfId="0" applyFont="1" applyAlignment="1">
      <alignment horizontal="left"/>
    </xf>
    <xf numFmtId="0" fontId="32" fillId="0" borderId="0" xfId="0" applyFont="1" applyAlignment="1">
      <alignment horizontal="left" vertical="center"/>
    </xf>
    <xf numFmtId="0" fontId="32" fillId="5" borderId="0" xfId="0" applyFont="1" applyFill="1" applyAlignment="1">
      <alignment horizontal="left"/>
    </xf>
    <xf numFmtId="0" fontId="73" fillId="5" borderId="0" xfId="0" applyFont="1" applyFill="1" applyAlignment="1"/>
    <xf numFmtId="0" fontId="73" fillId="17" borderId="0" xfId="0" applyFont="1" applyFill="1" applyAlignment="1"/>
    <xf numFmtId="0" fontId="32" fillId="0" borderId="0" xfId="0" applyFont="1" applyBorder="1" applyAlignment="1">
      <alignment horizontal="left"/>
    </xf>
    <xf numFmtId="0" fontId="32" fillId="5" borderId="0" xfId="0" applyFont="1" applyFill="1" applyAlignment="1">
      <alignment horizontal="center"/>
    </xf>
    <xf numFmtId="0" fontId="32" fillId="0" borderId="0" xfId="0" applyFont="1" applyAlignment="1">
      <alignment horizontal="center"/>
    </xf>
    <xf numFmtId="0" fontId="32" fillId="5" borderId="16" xfId="0" applyFont="1" applyFill="1" applyBorder="1" applyAlignment="1">
      <alignment horizontal="left"/>
    </xf>
    <xf numFmtId="0" fontId="32" fillId="5" borderId="35" xfId="0" applyFont="1" applyFill="1" applyBorder="1" applyAlignment="1">
      <alignment horizontal="left"/>
    </xf>
    <xf numFmtId="0" fontId="32" fillId="5" borderId="13" xfId="0" applyFont="1" applyFill="1" applyBorder="1" applyAlignment="1">
      <alignment horizontal="left"/>
    </xf>
    <xf numFmtId="0" fontId="32" fillId="5" borderId="11" xfId="0" applyFont="1" applyFill="1" applyBorder="1" applyAlignment="1">
      <alignment horizontal="left"/>
    </xf>
    <xf numFmtId="165" fontId="32" fillId="5" borderId="11" xfId="0" applyNumberFormat="1" applyFont="1" applyFill="1" applyBorder="1" applyAlignment="1">
      <alignment horizontal="left"/>
    </xf>
    <xf numFmtId="0" fontId="32" fillId="0" borderId="11" xfId="0" applyFont="1" applyBorder="1" applyAlignment="1">
      <alignment horizontal="left"/>
    </xf>
    <xf numFmtId="0" fontId="32" fillId="0" borderId="11" xfId="0" applyFont="1" applyBorder="1" applyAlignment="1">
      <alignment horizontal="left" vertical="center"/>
    </xf>
    <xf numFmtId="0" fontId="32" fillId="0" borderId="13" xfId="0" applyFont="1" applyBorder="1" applyAlignment="1">
      <alignment horizontal="left"/>
    </xf>
    <xf numFmtId="0" fontId="32" fillId="5" borderId="38" xfId="0" applyFont="1" applyFill="1" applyBorder="1" applyAlignment="1">
      <alignment horizontal="left"/>
    </xf>
    <xf numFmtId="0" fontId="32" fillId="5" borderId="39" xfId="0" applyFont="1" applyFill="1" applyBorder="1" applyAlignment="1">
      <alignment horizontal="left"/>
    </xf>
    <xf numFmtId="165" fontId="32" fillId="5" borderId="39" xfId="0" applyNumberFormat="1" applyFont="1" applyFill="1" applyBorder="1" applyAlignment="1">
      <alignment horizontal="left"/>
    </xf>
    <xf numFmtId="165" fontId="32" fillId="5" borderId="35" xfId="0" applyNumberFormat="1" applyFont="1" applyFill="1" applyBorder="1" applyAlignment="1">
      <alignment horizontal="left"/>
    </xf>
    <xf numFmtId="165" fontId="32" fillId="0" borderId="11" xfId="0" applyNumberFormat="1" applyFont="1" applyFill="1" applyBorder="1" applyAlignment="1">
      <alignment horizontal="left"/>
    </xf>
    <xf numFmtId="0" fontId="42" fillId="0" borderId="0" xfId="0" applyFont="1" applyAlignment="1">
      <alignment horizontal="left"/>
    </xf>
    <xf numFmtId="180" fontId="32" fillId="5" borderId="11" xfId="0" applyNumberFormat="1" applyFont="1" applyFill="1" applyBorder="1" applyAlignment="1">
      <alignment horizontal="left"/>
    </xf>
    <xf numFmtId="0" fontId="32" fillId="5" borderId="0" xfId="0" applyFont="1" applyFill="1" applyBorder="1" applyAlignment="1">
      <alignment horizontal="left"/>
    </xf>
    <xf numFmtId="0" fontId="32" fillId="5" borderId="0" xfId="0" applyFont="1" applyFill="1" applyAlignment="1">
      <alignment horizontal="left" vertical="center"/>
    </xf>
    <xf numFmtId="4" fontId="32" fillId="0" borderId="0" xfId="0" applyNumberFormat="1" applyFont="1" applyAlignment="1">
      <alignment horizontal="left" vertical="center"/>
    </xf>
    <xf numFmtId="188" fontId="32" fillId="5" borderId="11" xfId="0" applyNumberFormat="1" applyFont="1" applyFill="1" applyBorder="1" applyAlignment="1">
      <alignment horizontal="right" vertical="center"/>
    </xf>
    <xf numFmtId="165" fontId="32" fillId="5" borderId="11" xfId="0" applyNumberFormat="1" applyFont="1" applyFill="1" applyBorder="1" applyAlignment="1">
      <alignment horizontal="right"/>
    </xf>
    <xf numFmtId="0" fontId="32" fillId="5" borderId="39" xfId="0" applyFont="1" applyFill="1" applyBorder="1" applyAlignment="1">
      <alignment horizontal="right" vertical="center"/>
    </xf>
    <xf numFmtId="4" fontId="32" fillId="5" borderId="35" xfId="0" applyNumberFormat="1" applyFont="1" applyFill="1" applyBorder="1" applyAlignment="1">
      <alignment horizontal="right" vertical="center"/>
    </xf>
    <xf numFmtId="4" fontId="32" fillId="5" borderId="11" xfId="0" applyNumberFormat="1" applyFont="1" applyFill="1" applyBorder="1" applyAlignment="1">
      <alignment horizontal="right" vertical="center"/>
    </xf>
    <xf numFmtId="187" fontId="32" fillId="0" borderId="11" xfId="0" applyNumberFormat="1" applyFont="1" applyFill="1" applyBorder="1" applyAlignment="1">
      <alignment horizontal="right"/>
    </xf>
    <xf numFmtId="180" fontId="32" fillId="5" borderId="11" xfId="0" applyNumberFormat="1" applyFont="1" applyFill="1" applyBorder="1" applyAlignment="1">
      <alignment horizontal="right"/>
    </xf>
    <xf numFmtId="4" fontId="32" fillId="5" borderId="39" xfId="0" applyNumberFormat="1" applyFont="1" applyFill="1" applyBorder="1" applyAlignment="1">
      <alignment horizontal="right" vertical="center"/>
    </xf>
    <xf numFmtId="0" fontId="32" fillId="5" borderId="35" xfId="0" applyFont="1" applyFill="1" applyBorder="1" applyAlignment="1">
      <alignment horizontal="center"/>
    </xf>
    <xf numFmtId="0" fontId="32" fillId="5" borderId="35" xfId="0" applyFont="1" applyFill="1" applyBorder="1" applyAlignment="1">
      <alignment horizontal="center" vertical="center"/>
    </xf>
    <xf numFmtId="0" fontId="32" fillId="0" borderId="35" xfId="0" applyFont="1" applyBorder="1" applyAlignment="1">
      <alignment horizontal="center"/>
    </xf>
    <xf numFmtId="0" fontId="32" fillId="0" borderId="36" xfId="0" applyFont="1" applyBorder="1" applyAlignment="1">
      <alignment horizontal="center"/>
    </xf>
    <xf numFmtId="180" fontId="32" fillId="0" borderId="37" xfId="0" applyNumberFormat="1" applyFont="1" applyBorder="1" applyAlignment="1">
      <alignment horizontal="right"/>
    </xf>
    <xf numFmtId="11" fontId="73" fillId="5" borderId="40" xfId="0" applyNumberFormat="1" applyFont="1" applyFill="1" applyBorder="1" applyAlignment="1">
      <alignment horizontal="right"/>
    </xf>
    <xf numFmtId="180" fontId="32" fillId="0" borderId="36" xfId="0" applyNumberFormat="1" applyFont="1" applyBorder="1" applyAlignment="1">
      <alignment horizontal="right"/>
    </xf>
    <xf numFmtId="180" fontId="32" fillId="0" borderId="37" xfId="0" applyNumberFormat="1" applyFont="1" applyFill="1" applyBorder="1" applyAlignment="1">
      <alignment horizontal="right"/>
    </xf>
    <xf numFmtId="180" fontId="32" fillId="0" borderId="40" xfId="0" applyNumberFormat="1" applyFont="1" applyBorder="1" applyAlignment="1">
      <alignment horizontal="right"/>
    </xf>
    <xf numFmtId="165" fontId="32" fillId="5" borderId="11" xfId="0" applyNumberFormat="1" applyFont="1" applyFill="1" applyBorder="1" applyAlignment="1">
      <alignment horizontal="center"/>
    </xf>
    <xf numFmtId="165" fontId="32" fillId="5" borderId="39" xfId="0" applyNumberFormat="1" applyFont="1" applyFill="1" applyBorder="1" applyAlignment="1">
      <alignment horizontal="center"/>
    </xf>
    <xf numFmtId="1" fontId="32" fillId="5" borderId="35" xfId="0" applyNumberFormat="1" applyFont="1" applyFill="1" applyBorder="1" applyAlignment="1">
      <alignment horizontal="center"/>
    </xf>
    <xf numFmtId="1" fontId="32" fillId="5" borderId="11" xfId="0" applyNumberFormat="1" applyFont="1" applyFill="1" applyBorder="1" applyAlignment="1">
      <alignment horizontal="center"/>
    </xf>
    <xf numFmtId="1" fontId="32" fillId="0" borderId="11" xfId="0" applyNumberFormat="1" applyFont="1" applyFill="1" applyBorder="1" applyAlignment="1">
      <alignment horizontal="center"/>
    </xf>
    <xf numFmtId="1" fontId="32" fillId="5" borderId="39" xfId="0" applyNumberFormat="1" applyFont="1" applyFill="1" applyBorder="1" applyAlignment="1">
      <alignment horizontal="center"/>
    </xf>
    <xf numFmtId="0" fontId="51" fillId="0" borderId="0" xfId="0" applyFont="1" applyFill="1" applyAlignment="1">
      <alignment horizontal="center"/>
    </xf>
    <xf numFmtId="0" fontId="40" fillId="5" borderId="9" xfId="0" applyFont="1" applyFill="1" applyBorder="1"/>
    <xf numFmtId="0" fontId="40" fillId="5" borderId="6" xfId="0" applyFont="1" applyFill="1" applyBorder="1" applyAlignment="1">
      <alignment vertical="center"/>
    </xf>
    <xf numFmtId="3" fontId="40" fillId="22" borderId="61" xfId="0" applyNumberFormat="1" applyFont="1" applyFill="1" applyBorder="1" applyAlignment="1">
      <alignment horizontal="center" wrapText="1"/>
    </xf>
    <xf numFmtId="0" fontId="40" fillId="5" borderId="61" xfId="0" applyFont="1" applyFill="1" applyBorder="1" applyAlignment="1">
      <alignment horizontal="center"/>
    </xf>
    <xf numFmtId="0" fontId="45" fillId="0" borderId="95" xfId="0" applyFont="1" applyFill="1" applyBorder="1" applyAlignment="1">
      <alignment horizontal="center" vertical="center"/>
    </xf>
    <xf numFmtId="0" fontId="35" fillId="22" borderId="94" xfId="0" applyFont="1" applyFill="1" applyBorder="1" applyAlignment="1">
      <alignment horizontal="center"/>
    </xf>
    <xf numFmtId="0" fontId="40" fillId="5" borderId="14" xfId="0" applyFont="1" applyFill="1" applyBorder="1" applyAlignment="1">
      <alignment horizontal="center"/>
    </xf>
    <xf numFmtId="0" fontId="45" fillId="0" borderId="94" xfId="0" applyFont="1" applyFill="1" applyBorder="1" applyAlignment="1">
      <alignment horizontal="center"/>
    </xf>
    <xf numFmtId="0" fontId="40" fillId="5" borderId="6" xfId="0" applyFont="1" applyFill="1" applyBorder="1"/>
    <xf numFmtId="0" fontId="40" fillId="5" borderId="6" xfId="0" applyFont="1" applyFill="1" applyBorder="1" applyAlignment="1">
      <alignment horizontal="left" vertical="center"/>
    </xf>
    <xf numFmtId="0" fontId="42" fillId="5" borderId="0" xfId="0" applyFont="1" applyFill="1" applyBorder="1" applyAlignment="1">
      <alignment horizontal="right" vertical="center" wrapText="1"/>
    </xf>
    <xf numFmtId="0" fontId="40" fillId="5" borderId="0" xfId="0" applyFont="1" applyFill="1" applyAlignment="1">
      <alignment horizontal="center"/>
    </xf>
    <xf numFmtId="0" fontId="45" fillId="0" borderId="18" xfId="0" applyFont="1" applyFill="1" applyBorder="1" applyAlignment="1">
      <alignment horizontal="center" wrapText="1"/>
    </xf>
    <xf numFmtId="0" fontId="35" fillId="0" borderId="6" xfId="0" applyFont="1" applyBorder="1"/>
    <xf numFmtId="4" fontId="35" fillId="22" borderId="14" xfId="0" applyNumberFormat="1" applyFont="1" applyFill="1" applyBorder="1" applyAlignment="1">
      <alignment horizontal="right"/>
    </xf>
    <xf numFmtId="0" fontId="40" fillId="22" borderId="18" xfId="0" applyFont="1" applyFill="1" applyBorder="1" applyAlignment="1">
      <alignment horizontal="center"/>
    </xf>
    <xf numFmtId="0" fontId="39" fillId="0" borderId="6" xfId="0" applyFont="1" applyBorder="1" applyAlignment="1">
      <alignment vertical="center"/>
    </xf>
    <xf numFmtId="4" fontId="35" fillId="5" borderId="14" xfId="0" applyNumberFormat="1" applyFont="1" applyFill="1" applyBorder="1" applyAlignment="1">
      <alignment horizontal="right"/>
    </xf>
    <xf numFmtId="0" fontId="69" fillId="0" borderId="0" xfId="0" applyFont="1" applyFill="1" applyBorder="1" applyAlignment="1"/>
    <xf numFmtId="0" fontId="40" fillId="5" borderId="0" xfId="0" applyFont="1" applyFill="1" applyBorder="1" applyAlignment="1">
      <alignment horizontal="center"/>
    </xf>
    <xf numFmtId="0" fontId="40" fillId="5" borderId="7" xfId="0" applyFont="1" applyFill="1" applyBorder="1" applyAlignment="1">
      <alignment horizontal="center"/>
    </xf>
    <xf numFmtId="3" fontId="40" fillId="22" borderId="14" xfId="0" applyNumberFormat="1" applyFont="1" applyFill="1" applyBorder="1" applyAlignment="1">
      <alignment horizontal="center" wrapText="1"/>
    </xf>
    <xf numFmtId="0" fontId="45" fillId="0" borderId="18" xfId="0" applyFont="1" applyFill="1" applyBorder="1" applyAlignment="1">
      <alignment horizontal="center"/>
    </xf>
    <xf numFmtId="0" fontId="40" fillId="22" borderId="14" xfId="0" applyFont="1" applyFill="1" applyBorder="1" applyAlignment="1">
      <alignment horizontal="center"/>
    </xf>
    <xf numFmtId="0" fontId="40" fillId="5" borderId="0" xfId="0" applyFont="1" applyFill="1" applyBorder="1" applyAlignment="1">
      <alignment horizontal="right" vertical="center"/>
    </xf>
    <xf numFmtId="0" fontId="45" fillId="22" borderId="18" xfId="0" applyFont="1" applyFill="1" applyBorder="1" applyAlignment="1">
      <alignment horizontal="center"/>
    </xf>
    <xf numFmtId="0" fontId="40" fillId="5" borderId="14" xfId="0" applyFont="1" applyFill="1" applyBorder="1" applyAlignment="1">
      <alignment horizontal="center" vertical="center"/>
    </xf>
    <xf numFmtId="43" fontId="40" fillId="22" borderId="14" xfId="135" applyFont="1" applyFill="1" applyBorder="1" applyAlignment="1">
      <alignment horizontal="center"/>
    </xf>
    <xf numFmtId="43" fontId="40" fillId="22" borderId="14" xfId="135" applyFont="1" applyFill="1" applyBorder="1" applyAlignment="1">
      <alignment horizontal="center" vertical="center"/>
    </xf>
    <xf numFmtId="43" fontId="40" fillId="5" borderId="0" xfId="0" applyNumberFormat="1" applyFont="1" applyFill="1" applyBorder="1"/>
    <xf numFmtId="43" fontId="35" fillId="22" borderId="14" xfId="135" applyFont="1" applyFill="1" applyBorder="1" applyAlignment="1">
      <alignment horizontal="center" vertical="center"/>
    </xf>
    <xf numFmtId="0" fontId="45" fillId="22" borderId="18" xfId="0" applyFont="1" applyFill="1" applyBorder="1" applyAlignment="1">
      <alignment horizontal="center" wrapText="1"/>
    </xf>
    <xf numFmtId="0" fontId="39" fillId="0" borderId="8" xfId="0" applyFont="1" applyBorder="1"/>
    <xf numFmtId="0" fontId="53" fillId="5" borderId="9" xfId="0" applyFont="1" applyFill="1" applyBorder="1"/>
    <xf numFmtId="43" fontId="35" fillId="22" borderId="70" xfId="135" applyFont="1" applyFill="1" applyBorder="1" applyAlignment="1">
      <alignment horizontal="center"/>
    </xf>
    <xf numFmtId="0" fontId="40" fillId="5" borderId="70" xfId="0" applyFont="1" applyFill="1" applyBorder="1" applyAlignment="1">
      <alignment horizontal="center"/>
    </xf>
    <xf numFmtId="0" fontId="45" fillId="5" borderId="78" xfId="0" applyFont="1" applyFill="1" applyBorder="1" applyAlignment="1">
      <alignment horizontal="center"/>
    </xf>
    <xf numFmtId="0" fontId="46" fillId="0" borderId="106" xfId="0" applyFont="1" applyBorder="1" applyAlignment="1">
      <alignment horizontal="center"/>
    </xf>
    <xf numFmtId="0" fontId="46" fillId="0" borderId="56" xfId="0" applyFont="1" applyBorder="1" applyAlignment="1">
      <alignment horizontal="center"/>
    </xf>
    <xf numFmtId="0" fontId="46" fillId="0" borderId="105" xfId="0" applyFont="1" applyBorder="1" applyAlignment="1">
      <alignment horizontal="center"/>
    </xf>
    <xf numFmtId="4" fontId="49" fillId="19" borderId="4" xfId="135" applyNumberFormat="1" applyFont="1" applyFill="1" applyBorder="1" applyAlignment="1">
      <alignment horizontal="right"/>
    </xf>
    <xf numFmtId="0" fontId="49" fillId="19" borderId="5" xfId="0" applyFont="1" applyFill="1" applyBorder="1" applyAlignment="1"/>
    <xf numFmtId="4" fontId="49" fillId="19" borderId="0" xfId="135" applyNumberFormat="1" applyFont="1" applyFill="1" applyBorder="1" applyAlignment="1">
      <alignment horizontal="right"/>
    </xf>
    <xf numFmtId="0" fontId="49" fillId="19" borderId="7" xfId="2" applyFont="1" applyFill="1" applyBorder="1"/>
    <xf numFmtId="0" fontId="46" fillId="0" borderId="45" xfId="0" applyFont="1" applyBorder="1" applyAlignment="1">
      <alignment horizontal="center"/>
    </xf>
    <xf numFmtId="0" fontId="53" fillId="5" borderId="44" xfId="0" applyFont="1" applyFill="1" applyBorder="1" applyAlignment="1"/>
    <xf numFmtId="0" fontId="53" fillId="5" borderId="45" xfId="0" applyFont="1" applyFill="1" applyBorder="1" applyAlignment="1"/>
    <xf numFmtId="185" fontId="49" fillId="19" borderId="10" xfId="3" applyNumberFormat="1" applyFont="1" applyFill="1" applyBorder="1" applyAlignment="1"/>
    <xf numFmtId="185" fontId="49" fillId="0" borderId="0" xfId="3" applyNumberFormat="1" applyFont="1" applyFill="1" applyBorder="1" applyAlignment="1"/>
    <xf numFmtId="0" fontId="53" fillId="5" borderId="56" xfId="0" applyFont="1" applyFill="1" applyBorder="1" applyAlignment="1"/>
    <xf numFmtId="0" fontId="53" fillId="0" borderId="56" xfId="0" applyFont="1" applyFill="1" applyBorder="1" applyAlignment="1"/>
    <xf numFmtId="4" fontId="49" fillId="0" borderId="56" xfId="135" applyNumberFormat="1" applyFont="1" applyFill="1" applyBorder="1" applyAlignment="1">
      <alignment horizontal="right"/>
    </xf>
    <xf numFmtId="185" fontId="49" fillId="0" borderId="56" xfId="3" applyNumberFormat="1" applyFont="1" applyFill="1" applyBorder="1" applyAlignment="1"/>
    <xf numFmtId="2" fontId="35" fillId="22" borderId="11" xfId="0" applyNumberFormat="1" applyFont="1" applyFill="1" applyBorder="1" applyAlignment="1">
      <alignment horizontal="center"/>
    </xf>
    <xf numFmtId="4" fontId="35" fillId="22" borderId="0" xfId="0" applyNumberFormat="1" applyFont="1" applyFill="1" applyAlignment="1">
      <alignment horizontal="center"/>
    </xf>
    <xf numFmtId="2" fontId="35" fillId="22" borderId="0" xfId="0" applyNumberFormat="1" applyFont="1" applyFill="1" applyAlignment="1">
      <alignment horizontal="center"/>
    </xf>
    <xf numFmtId="4" fontId="39" fillId="22" borderId="12" xfId="0" applyNumberFormat="1" applyFont="1" applyFill="1" applyBorder="1" applyAlignment="1">
      <alignment horizontal="center"/>
    </xf>
    <xf numFmtId="0" fontId="46" fillId="0" borderId="6" xfId="0" applyFont="1" applyBorder="1" applyAlignment="1">
      <alignment horizontal="center"/>
    </xf>
    <xf numFmtId="2" fontId="40" fillId="22" borderId="11" xfId="0" applyNumberFormat="1" applyFont="1" applyFill="1" applyBorder="1" applyAlignment="1">
      <alignment horizontal="center"/>
    </xf>
    <xf numFmtId="2" fontId="32" fillId="22" borderId="11" xfId="0" applyNumberFormat="1" applyFont="1" applyFill="1" applyBorder="1" applyAlignment="1">
      <alignment horizontal="center"/>
    </xf>
    <xf numFmtId="4" fontId="32" fillId="22" borderId="37" xfId="0" applyNumberFormat="1" applyFont="1" applyFill="1" applyBorder="1" applyAlignment="1">
      <alignment horizontal="center"/>
    </xf>
    <xf numFmtId="2" fontId="40" fillId="22" borderId="39" xfId="0" applyNumberFormat="1" applyFont="1" applyFill="1" applyBorder="1" applyAlignment="1">
      <alignment horizontal="center"/>
    </xf>
    <xf numFmtId="2" fontId="32" fillId="22" borderId="39" xfId="0" applyNumberFormat="1" applyFont="1" applyFill="1" applyBorder="1" applyAlignment="1">
      <alignment horizontal="center"/>
    </xf>
    <xf numFmtId="4" fontId="32" fillId="22" borderId="40" xfId="0" applyNumberFormat="1" applyFont="1" applyFill="1" applyBorder="1" applyAlignment="1">
      <alignment horizontal="center"/>
    </xf>
    <xf numFmtId="3" fontId="35" fillId="5" borderId="4" xfId="0" applyNumberFormat="1" applyFont="1" applyFill="1" applyBorder="1" applyAlignment="1">
      <alignment horizontal="center"/>
    </xf>
    <xf numFmtId="182" fontId="34" fillId="5" borderId="4" xfId="0" applyNumberFormat="1" applyFont="1" applyFill="1" applyBorder="1" applyAlignment="1">
      <alignment horizontal="center"/>
    </xf>
    <xf numFmtId="43" fontId="32" fillId="5" borderId="0" xfId="0" applyNumberFormat="1" applyFont="1" applyFill="1"/>
    <xf numFmtId="0" fontId="40" fillId="0" borderId="0" xfId="0" applyFont="1" applyFill="1"/>
    <xf numFmtId="0" fontId="40" fillId="0" borderId="30" xfId="0" applyFont="1" applyFill="1" applyBorder="1"/>
    <xf numFmtId="0" fontId="40" fillId="0" borderId="0" xfId="0" applyFont="1" applyFill="1" applyAlignment="1">
      <alignment horizontal="center"/>
    </xf>
    <xf numFmtId="0" fontId="40" fillId="0" borderId="0" xfId="0" applyFont="1" applyFill="1" applyBorder="1"/>
    <xf numFmtId="0" fontId="73" fillId="5" borderId="0" xfId="0" applyFont="1" applyFill="1" applyBorder="1" applyAlignment="1">
      <alignment horizontal="center"/>
    </xf>
    <xf numFmtId="0" fontId="40" fillId="0" borderId="9" xfId="0" applyFont="1" applyFill="1" applyBorder="1"/>
    <xf numFmtId="0" fontId="40" fillId="0" borderId="6" xfId="0" applyFont="1" applyFill="1" applyBorder="1" applyAlignment="1">
      <alignment vertical="center"/>
    </xf>
    <xf numFmtId="3" fontId="35" fillId="22" borderId="95" xfId="0" applyNumberFormat="1" applyFont="1" applyFill="1" applyBorder="1" applyAlignment="1">
      <alignment horizontal="center"/>
    </xf>
    <xf numFmtId="0" fontId="40" fillId="0" borderId="0" xfId="0" applyFont="1" applyFill="1" applyBorder="1" applyAlignment="1"/>
    <xf numFmtId="4" fontId="40" fillId="22" borderId="14" xfId="0" applyNumberFormat="1" applyFont="1" applyFill="1" applyBorder="1" applyAlignment="1">
      <alignment horizontal="center" wrapText="1"/>
    </xf>
    <xf numFmtId="3" fontId="35" fillId="22" borderId="18" xfId="0" applyNumberFormat="1" applyFont="1" applyFill="1" applyBorder="1" applyAlignment="1">
      <alignment horizontal="center"/>
    </xf>
    <xf numFmtId="0" fontId="40" fillId="0" borderId="14" xfId="0" applyFont="1" applyFill="1" applyBorder="1" applyAlignment="1">
      <alignment horizontal="center" wrapText="1"/>
    </xf>
    <xf numFmtId="3" fontId="61" fillId="22" borderId="18" xfId="0" applyNumberFormat="1" applyFont="1" applyFill="1" applyBorder="1" applyAlignment="1">
      <alignment horizontal="center"/>
    </xf>
    <xf numFmtId="3" fontId="35" fillId="0" borderId="18" xfId="0" applyNumberFormat="1" applyFont="1" applyFill="1" applyBorder="1" applyAlignment="1">
      <alignment horizontal="center"/>
    </xf>
    <xf numFmtId="0" fontId="32" fillId="0" borderId="0" xfId="0" applyFont="1" applyBorder="1" applyAlignment="1">
      <alignment wrapText="1"/>
    </xf>
    <xf numFmtId="0" fontId="40" fillId="0" borderId="90" xfId="0" applyFont="1" applyFill="1" applyBorder="1"/>
    <xf numFmtId="2" fontId="39" fillId="22" borderId="0" xfId="0" applyNumberFormat="1" applyFont="1" applyFill="1" applyBorder="1" applyAlignment="1">
      <alignment horizontal="center"/>
    </xf>
    <xf numFmtId="0" fontId="89" fillId="5" borderId="0" xfId="0" applyFont="1" applyFill="1" applyBorder="1"/>
    <xf numFmtId="2" fontId="35" fillId="22" borderId="14" xfId="0" applyNumberFormat="1" applyFont="1" applyFill="1" applyBorder="1" applyAlignment="1">
      <alignment horizontal="center"/>
    </xf>
    <xf numFmtId="0" fontId="40" fillId="0" borderId="18" xfId="0" applyFont="1" applyFill="1" applyBorder="1" applyAlignment="1">
      <alignment horizontal="center"/>
    </xf>
    <xf numFmtId="4" fontId="35" fillId="22" borderId="70" xfId="0" applyNumberFormat="1" applyFont="1" applyFill="1" applyBorder="1" applyAlignment="1">
      <alignment horizontal="center" vertical="center"/>
    </xf>
    <xf numFmtId="3" fontId="35" fillId="22" borderId="78" xfId="0" applyNumberFormat="1" applyFont="1" applyFill="1" applyBorder="1" applyAlignment="1">
      <alignment horizontal="center"/>
    </xf>
    <xf numFmtId="0" fontId="90" fillId="5" borderId="0" xfId="0" applyFont="1" applyFill="1" applyBorder="1" applyAlignment="1">
      <alignment vertical="center"/>
    </xf>
    <xf numFmtId="1" fontId="40" fillId="5" borderId="0" xfId="0" applyNumberFormat="1" applyFont="1" applyFill="1" applyBorder="1"/>
    <xf numFmtId="4" fontId="40" fillId="0" borderId="0" xfId="0" applyNumberFormat="1" applyFont="1" applyFill="1" applyBorder="1"/>
    <xf numFmtId="0" fontId="46" fillId="0" borderId="107" xfId="0" applyFont="1" applyBorder="1" applyAlignment="1">
      <alignment horizontal="center"/>
    </xf>
    <xf numFmtId="0" fontId="53" fillId="0" borderId="30" xfId="0" applyFont="1" applyFill="1" applyBorder="1" applyAlignment="1"/>
    <xf numFmtId="0" fontId="53" fillId="0" borderId="42" xfId="0" applyFont="1" applyFill="1" applyBorder="1" applyAlignment="1"/>
    <xf numFmtId="0" fontId="53" fillId="0" borderId="43" xfId="0" applyFont="1" applyFill="1" applyBorder="1" applyAlignment="1"/>
    <xf numFmtId="0" fontId="53" fillId="0" borderId="23" xfId="0" applyFont="1" applyFill="1" applyBorder="1" applyAlignment="1"/>
    <xf numFmtId="0" fontId="49" fillId="19" borderId="3" xfId="0" applyFont="1" applyFill="1" applyBorder="1" applyAlignment="1"/>
    <xf numFmtId="3" fontId="49" fillId="19" borderId="4" xfId="0" applyNumberFormat="1" applyFont="1" applyFill="1" applyBorder="1" applyAlignment="1">
      <alignment horizontal="right"/>
    </xf>
    <xf numFmtId="1" fontId="40" fillId="0" borderId="0" xfId="0" applyNumberFormat="1" applyFont="1" applyFill="1" applyBorder="1"/>
    <xf numFmtId="0" fontId="49" fillId="19" borderId="8" xfId="0" applyFont="1" applyFill="1" applyBorder="1" applyAlignment="1"/>
    <xf numFmtId="4" fontId="49" fillId="19" borderId="9" xfId="0" applyNumberFormat="1" applyFont="1" applyFill="1" applyBorder="1" applyAlignment="1">
      <alignment horizontal="right"/>
    </xf>
    <xf numFmtId="0" fontId="53" fillId="0" borderId="44" xfId="0" applyFont="1" applyFill="1" applyBorder="1" applyAlignment="1"/>
    <xf numFmtId="0" fontId="53" fillId="0" borderId="45" xfId="0" applyFont="1" applyFill="1" applyBorder="1" applyAlignment="1"/>
    <xf numFmtId="0" fontId="53" fillId="0" borderId="0" xfId="0" applyFont="1" applyFill="1" applyBorder="1" applyAlignment="1">
      <alignment horizontal="right"/>
    </xf>
    <xf numFmtId="0" fontId="53" fillId="0" borderId="52" xfId="0" applyFont="1" applyFill="1" applyBorder="1" applyAlignment="1"/>
    <xf numFmtId="0" fontId="53" fillId="0" borderId="46" xfId="0" applyFont="1" applyFill="1" applyBorder="1" applyAlignment="1"/>
    <xf numFmtId="0" fontId="49" fillId="18" borderId="11" xfId="0" applyFont="1" applyFill="1" applyBorder="1" applyAlignment="1">
      <alignment horizontal="center" vertical="center"/>
    </xf>
    <xf numFmtId="0" fontId="49" fillId="18" borderId="37" xfId="0" applyFont="1" applyFill="1" applyBorder="1" applyAlignment="1">
      <alignment horizontal="center" vertical="center"/>
    </xf>
    <xf numFmtId="2" fontId="35" fillId="22" borderId="37" xfId="0" applyNumberFormat="1" applyFont="1" applyFill="1" applyBorder="1" applyAlignment="1">
      <alignment horizontal="center"/>
    </xf>
    <xf numFmtId="2" fontId="35" fillId="22" borderId="39" xfId="0" applyNumberFormat="1" applyFont="1" applyFill="1" applyBorder="1" applyAlignment="1">
      <alignment horizontal="center"/>
    </xf>
    <xf numFmtId="2" fontId="35" fillId="22" borderId="40" xfId="0" applyNumberFormat="1" applyFont="1" applyFill="1" applyBorder="1" applyAlignment="1">
      <alignment horizontal="center"/>
    </xf>
    <xf numFmtId="0" fontId="72" fillId="23" borderId="0" xfId="0" applyFont="1" applyFill="1" applyBorder="1" applyAlignment="1"/>
    <xf numFmtId="0" fontId="72" fillId="23" borderId="23" xfId="0" applyFont="1" applyFill="1" applyBorder="1" applyAlignment="1"/>
    <xf numFmtId="0" fontId="32" fillId="0" borderId="0" xfId="0" applyFont="1" applyAlignment="1">
      <alignment vertical="top" wrapText="1"/>
    </xf>
    <xf numFmtId="0" fontId="32" fillId="0" borderId="0" xfId="0" applyFont="1" applyAlignment="1">
      <alignment wrapText="1"/>
    </xf>
    <xf numFmtId="0" fontId="73" fillId="5" borderId="0" xfId="0" applyFont="1" applyFill="1"/>
    <xf numFmtId="0" fontId="73" fillId="0" borderId="0" xfId="0" applyFont="1" applyFill="1"/>
    <xf numFmtId="0" fontId="72" fillId="5" borderId="0" xfId="0" applyFont="1" applyFill="1"/>
    <xf numFmtId="0" fontId="72" fillId="0" borderId="0" xfId="0" applyFont="1" applyFill="1"/>
    <xf numFmtId="0" fontId="72" fillId="20" borderId="0" xfId="0" applyFont="1" applyFill="1"/>
    <xf numFmtId="0" fontId="91" fillId="0" borderId="0" xfId="0" applyFont="1" applyAlignment="1">
      <alignment horizontal="center" vertical="center"/>
    </xf>
    <xf numFmtId="0" fontId="32" fillId="0" borderId="0" xfId="0" applyFont="1" applyAlignment="1">
      <alignment vertical="top"/>
    </xf>
    <xf numFmtId="0" fontId="91" fillId="0" borderId="0" xfId="0" applyFont="1" applyBorder="1" applyAlignment="1">
      <alignment vertical="top"/>
    </xf>
    <xf numFmtId="0" fontId="34" fillId="0" borderId="0" xfId="0" applyFont="1" applyAlignment="1">
      <alignment vertical="top"/>
    </xf>
    <xf numFmtId="0" fontId="73" fillId="5" borderId="0" xfId="0" applyFont="1" applyFill="1" applyAlignment="1">
      <alignment horizontal="center" vertical="center"/>
    </xf>
    <xf numFmtId="0" fontId="73" fillId="0" borderId="0" xfId="0" applyFont="1" applyFill="1" applyAlignment="1">
      <alignment horizontal="center" vertical="center"/>
    </xf>
    <xf numFmtId="0" fontId="32" fillId="0" borderId="0" xfId="0" applyFont="1" applyFill="1" applyAlignment="1">
      <alignment horizontal="center" vertical="center"/>
    </xf>
    <xf numFmtId="0" fontId="32" fillId="0" borderId="0" xfId="0" applyFont="1" applyAlignment="1">
      <alignment horizontal="center" vertical="center"/>
    </xf>
    <xf numFmtId="0" fontId="73" fillId="0" borderId="11" xfId="0" applyFont="1" applyBorder="1" applyAlignment="1">
      <alignment horizontal="left" vertical="center" wrapText="1"/>
    </xf>
    <xf numFmtId="0" fontId="32" fillId="0" borderId="11" xfId="0" applyFont="1" applyBorder="1" applyAlignment="1">
      <alignment horizontal="left" vertical="top" wrapText="1"/>
    </xf>
    <xf numFmtId="0" fontId="32" fillId="0" borderId="11" xfId="0" applyFont="1" applyFill="1" applyBorder="1" applyAlignment="1">
      <alignment horizontal="left" vertical="top" wrapText="1"/>
    </xf>
    <xf numFmtId="0" fontId="32" fillId="0" borderId="11" xfId="0" applyFont="1" applyBorder="1" applyAlignment="1">
      <alignment horizontal="center" vertical="center" wrapText="1"/>
    </xf>
    <xf numFmtId="0" fontId="32" fillId="5" borderId="11" xfId="0" applyFont="1" applyFill="1" applyBorder="1" applyAlignment="1">
      <alignment horizontal="center" vertical="center"/>
    </xf>
    <xf numFmtId="0" fontId="92" fillId="19" borderId="0" xfId="0" applyFont="1" applyFill="1" applyAlignment="1">
      <alignment horizontal="center" vertical="center"/>
    </xf>
    <xf numFmtId="0" fontId="32" fillId="5" borderId="11" xfId="0" applyFont="1" applyFill="1" applyBorder="1" applyAlignment="1">
      <alignment horizontal="left" vertical="center"/>
    </xf>
    <xf numFmtId="0" fontId="73" fillId="5" borderId="0" xfId="0" applyFont="1" applyFill="1" applyAlignment="1">
      <alignment horizontal="left" vertical="center"/>
    </xf>
    <xf numFmtId="0" fontId="32" fillId="0" borderId="11" xfId="0" applyFont="1" applyBorder="1" applyAlignment="1">
      <alignment vertical="top"/>
    </xf>
    <xf numFmtId="3" fontId="32" fillId="0" borderId="11" xfId="0" applyNumberFormat="1" applyFont="1" applyBorder="1" applyAlignment="1">
      <alignment horizontal="left" vertical="center"/>
    </xf>
    <xf numFmtId="0" fontId="32" fillId="0" borderId="11" xfId="0" applyFont="1" applyFill="1" applyBorder="1" applyAlignment="1">
      <alignment horizontal="left" vertical="center"/>
    </xf>
    <xf numFmtId="0" fontId="73" fillId="0" borderId="0" xfId="0" applyFont="1" applyFill="1" applyAlignment="1">
      <alignment horizontal="left" vertical="center"/>
    </xf>
    <xf numFmtId="0" fontId="32" fillId="0" borderId="0" xfId="0" applyFont="1" applyFill="1" applyAlignment="1">
      <alignment horizontal="left" vertical="center"/>
    </xf>
    <xf numFmtId="0" fontId="32" fillId="0" borderId="11" xfId="0" applyFont="1" applyBorder="1" applyAlignment="1">
      <alignment horizontal="left" vertical="center" wrapText="1"/>
    </xf>
    <xf numFmtId="0" fontId="32" fillId="0" borderId="12" xfId="0" applyFont="1" applyBorder="1" applyAlignment="1">
      <alignment horizontal="left" vertical="center" wrapText="1"/>
    </xf>
    <xf numFmtId="0" fontId="32" fillId="0" borderId="11" xfId="0" applyFont="1" applyBorder="1" applyAlignment="1">
      <alignment vertical="top" wrapText="1"/>
    </xf>
    <xf numFmtId="0" fontId="32" fillId="0" borderId="11" xfId="0" applyFont="1" applyFill="1" applyBorder="1" applyAlignment="1">
      <alignment vertical="top" wrapText="1"/>
    </xf>
    <xf numFmtId="0" fontId="32" fillId="0" borderId="12" xfId="0" applyFont="1" applyBorder="1" applyAlignment="1">
      <alignment wrapText="1"/>
    </xf>
    <xf numFmtId="0" fontId="32" fillId="5" borderId="11" xfId="0" applyFont="1" applyFill="1" applyBorder="1" applyAlignment="1">
      <alignment horizontal="left" vertical="top" wrapText="1"/>
    </xf>
    <xf numFmtId="0" fontId="32" fillId="5" borderId="11" xfId="0" applyFont="1" applyFill="1" applyBorder="1"/>
    <xf numFmtId="0" fontId="32" fillId="0" borderId="12" xfId="0" applyFont="1" applyBorder="1" applyAlignment="1">
      <alignment vertical="top" wrapText="1"/>
    </xf>
    <xf numFmtId="0" fontId="32" fillId="19" borderId="0" xfId="0" applyFont="1" applyFill="1"/>
    <xf numFmtId="0" fontId="32" fillId="0" borderId="11" xfId="0" applyFont="1" applyBorder="1" applyAlignment="1">
      <alignment wrapText="1"/>
    </xf>
    <xf numFmtId="0" fontId="32" fillId="5" borderId="11" xfId="0" applyFont="1" applyFill="1" applyBorder="1" applyAlignment="1">
      <alignment vertical="center"/>
    </xf>
    <xf numFmtId="0" fontId="34" fillId="19" borderId="11" xfId="0" applyFont="1" applyFill="1" applyBorder="1" applyAlignment="1">
      <alignment horizontal="center" vertical="top" wrapText="1"/>
    </xf>
    <xf numFmtId="0" fontId="32" fillId="0" borderId="11" xfId="0" applyFont="1" applyBorder="1" applyAlignment="1">
      <alignment horizontal="left" vertical="top" wrapText="1"/>
    </xf>
    <xf numFmtId="0" fontId="32" fillId="19" borderId="0" xfId="0" applyFont="1" applyFill="1" applyAlignment="1">
      <alignment vertical="top" wrapText="1"/>
    </xf>
    <xf numFmtId="0" fontId="32" fillId="18" borderId="11" xfId="0" applyFont="1" applyFill="1" applyBorder="1" applyAlignment="1">
      <alignment vertical="top"/>
    </xf>
    <xf numFmtId="0" fontId="32" fillId="0" borderId="11" xfId="0" applyFont="1" applyFill="1" applyBorder="1" applyAlignment="1">
      <alignment vertical="top"/>
    </xf>
    <xf numFmtId="0" fontId="32" fillId="0" borderId="0" xfId="0" applyFont="1" applyBorder="1" applyAlignment="1">
      <alignment vertical="top"/>
    </xf>
    <xf numFmtId="0" fontId="32" fillId="0" borderId="0" xfId="0" applyFont="1" applyBorder="1" applyAlignment="1">
      <alignment horizontal="left" vertical="center"/>
    </xf>
    <xf numFmtId="0" fontId="32" fillId="0" borderId="63" xfId="0" applyFont="1" applyBorder="1" applyAlignment="1">
      <alignment vertical="top" wrapText="1"/>
    </xf>
    <xf numFmtId="0" fontId="32" fillId="0" borderId="32" xfId="0" applyFont="1" applyBorder="1" applyAlignment="1">
      <alignment vertical="top" wrapText="1"/>
    </xf>
    <xf numFmtId="0" fontId="73" fillId="5" borderId="0" xfId="0" applyFont="1" applyFill="1" applyBorder="1"/>
    <xf numFmtId="0" fontId="32" fillId="19" borderId="13" xfId="0" applyFont="1" applyFill="1" applyBorder="1" applyAlignment="1">
      <alignment vertical="top" wrapText="1"/>
    </xf>
    <xf numFmtId="0" fontId="32" fillId="0" borderId="26" xfId="0" applyFont="1" applyBorder="1" applyAlignment="1">
      <alignment vertical="top" wrapText="1"/>
    </xf>
    <xf numFmtId="0" fontId="32" fillId="0" borderId="0" xfId="0" applyFont="1" applyAlignment="1">
      <alignment horizontal="left" vertical="top"/>
    </xf>
    <xf numFmtId="0" fontId="49" fillId="0" borderId="0" xfId="0" applyFont="1" applyFill="1" applyAlignment="1"/>
    <xf numFmtId="0" fontId="93" fillId="0" borderId="0" xfId="0" applyFont="1" applyFill="1" applyBorder="1"/>
    <xf numFmtId="0" fontId="93" fillId="0" borderId="0" xfId="0" applyFont="1" applyFill="1"/>
    <xf numFmtId="0" fontId="93" fillId="0" borderId="0" xfId="0" applyFont="1" applyFill="1" applyAlignment="1">
      <alignment horizontal="center"/>
    </xf>
    <xf numFmtId="0" fontId="93" fillId="17" borderId="0" xfId="0" applyFont="1" applyFill="1"/>
    <xf numFmtId="0" fontId="40" fillId="5" borderId="5" xfId="0" applyFont="1" applyFill="1" applyBorder="1" applyAlignment="1">
      <alignment horizontal="center"/>
    </xf>
    <xf numFmtId="4" fontId="40" fillId="22" borderId="0" xfId="0" applyNumberFormat="1" applyFont="1" applyFill="1" applyBorder="1" applyAlignment="1">
      <alignment horizontal="center" wrapText="1"/>
    </xf>
    <xf numFmtId="4" fontId="40" fillId="22" borderId="14" xfId="0" applyNumberFormat="1" applyFont="1" applyFill="1" applyBorder="1" applyAlignment="1">
      <alignment horizontal="center" vertical="center"/>
    </xf>
    <xf numFmtId="0" fontId="40" fillId="0" borderId="14" xfId="0" applyFont="1" applyFill="1" applyBorder="1" applyAlignment="1">
      <alignment horizontal="center" vertical="center"/>
    </xf>
    <xf numFmtId="4" fontId="40" fillId="22" borderId="14" xfId="0" applyNumberFormat="1" applyFont="1" applyFill="1" applyBorder="1" applyAlignment="1">
      <alignment horizontal="center"/>
    </xf>
    <xf numFmtId="3" fontId="40" fillId="22" borderId="70" xfId="0" applyNumberFormat="1" applyFont="1" applyFill="1" applyBorder="1" applyAlignment="1">
      <alignment horizontal="center"/>
    </xf>
    <xf numFmtId="0" fontId="40" fillId="5" borderId="70" xfId="0" applyFont="1" applyFill="1" applyBorder="1" applyAlignment="1">
      <alignment horizontal="center" vertical="center"/>
    </xf>
    <xf numFmtId="3" fontId="40" fillId="5" borderId="0" xfId="0" applyNumberFormat="1" applyFont="1" applyFill="1" applyBorder="1" applyAlignment="1">
      <alignment horizontal="center"/>
    </xf>
    <xf numFmtId="0" fontId="47" fillId="0" borderId="0" xfId="0" applyFont="1" applyBorder="1" applyAlignment="1"/>
    <xf numFmtId="0" fontId="50" fillId="5" borderId="0" xfId="0" applyFont="1" applyFill="1" applyBorder="1" applyAlignment="1"/>
    <xf numFmtId="4" fontId="40" fillId="5" borderId="0" xfId="0" applyNumberFormat="1" applyFont="1" applyFill="1" applyBorder="1"/>
    <xf numFmtId="0" fontId="50" fillId="5" borderId="30" xfId="0" applyFont="1" applyFill="1" applyBorder="1" applyAlignment="1"/>
    <xf numFmtId="0" fontId="53" fillId="5" borderId="0" xfId="0" applyFont="1" applyFill="1" applyBorder="1" applyAlignment="1">
      <alignment horizontal="center" vertical="center"/>
    </xf>
    <xf numFmtId="0" fontId="49" fillId="19" borderId="5" xfId="2" applyFont="1" applyFill="1" applyBorder="1"/>
    <xf numFmtId="0" fontId="50" fillId="5" borderId="41" xfId="0" applyFont="1" applyFill="1" applyBorder="1" applyAlignment="1"/>
    <xf numFmtId="185" fontId="49" fillId="19" borderId="9" xfId="3" applyNumberFormat="1" applyFont="1" applyFill="1" applyBorder="1" applyAlignment="1"/>
    <xf numFmtId="44" fontId="49" fillId="19" borderId="10" xfId="3" applyFont="1" applyFill="1" applyBorder="1" applyAlignment="1"/>
    <xf numFmtId="0" fontId="53" fillId="5" borderId="42" xfId="0" applyFont="1" applyFill="1" applyBorder="1" applyAlignment="1">
      <alignment horizontal="center"/>
    </xf>
    <xf numFmtId="0" fontId="32" fillId="5" borderId="23" xfId="0" applyFont="1" applyFill="1" applyBorder="1"/>
    <xf numFmtId="0" fontId="32" fillId="0" borderId="0" xfId="0" applyFont="1" applyFill="1" applyBorder="1"/>
    <xf numFmtId="0" fontId="73" fillId="5" borderId="11" xfId="0" applyFont="1" applyFill="1" applyBorder="1" applyAlignment="1">
      <alignment horizontal="left" vertical="center" wrapText="1"/>
    </xf>
    <xf numFmtId="0" fontId="73" fillId="5" borderId="11" xfId="0" applyFont="1" applyFill="1" applyBorder="1" applyAlignment="1">
      <alignment horizontal="center" vertical="center" wrapText="1"/>
    </xf>
    <xf numFmtId="0" fontId="32" fillId="0" borderId="11" xfId="0" applyFont="1" applyBorder="1" applyAlignment="1">
      <alignment horizontal="left" vertical="top"/>
    </xf>
    <xf numFmtId="0" fontId="32" fillId="0" borderId="11" xfId="0" applyFont="1" applyBorder="1" applyAlignment="1">
      <alignment horizontal="left" wrapText="1"/>
    </xf>
    <xf numFmtId="0" fontId="32" fillId="0" borderId="11" xfId="0" applyFont="1" applyBorder="1"/>
    <xf numFmtId="0" fontId="34" fillId="19" borderId="11" xfId="0" applyFont="1" applyFill="1" applyBorder="1" applyAlignment="1">
      <alignment horizontal="center"/>
    </xf>
    <xf numFmtId="0" fontId="32" fillId="19" borderId="11" xfId="0" applyFont="1" applyFill="1" applyBorder="1"/>
    <xf numFmtId="0" fontId="34" fillId="0" borderId="0" xfId="0" applyFont="1"/>
    <xf numFmtId="0" fontId="45" fillId="0" borderId="0" xfId="94" applyFont="1"/>
    <xf numFmtId="0" fontId="94" fillId="0" borderId="0" xfId="0" applyFont="1" applyBorder="1" applyAlignment="1"/>
    <xf numFmtId="0" fontId="32" fillId="0" borderId="23" xfId="0" applyFont="1" applyBorder="1" applyAlignment="1">
      <alignment wrapText="1"/>
    </xf>
    <xf numFmtId="0" fontId="45" fillId="0" borderId="30" xfId="94" applyFont="1" applyBorder="1"/>
    <xf numFmtId="0" fontId="45" fillId="0" borderId="0" xfId="94" applyFont="1" applyBorder="1"/>
    <xf numFmtId="0" fontId="45" fillId="0" borderId="23" xfId="94" applyFont="1" applyBorder="1"/>
    <xf numFmtId="0" fontId="45" fillId="0" borderId="4" xfId="94" applyFont="1" applyBorder="1"/>
    <xf numFmtId="2" fontId="40" fillId="0" borderId="61" xfId="0" applyNumberFormat="1" applyFont="1" applyFill="1" applyBorder="1" applyAlignment="1">
      <alignment horizontal="center" vertical="center"/>
    </xf>
    <xf numFmtId="0" fontId="40" fillId="0" borderId="61" xfId="0" applyFont="1" applyFill="1" applyBorder="1" applyAlignment="1">
      <alignment horizontal="center"/>
    </xf>
    <xf numFmtId="0" fontId="40" fillId="0" borderId="6" xfId="94" applyFont="1" applyBorder="1"/>
    <xf numFmtId="0" fontId="40" fillId="0" borderId="0" xfId="94" applyFont="1" applyBorder="1"/>
    <xf numFmtId="0" fontId="40" fillId="0" borderId="0" xfId="0" applyFont="1" applyFill="1" applyBorder="1" applyAlignment="1">
      <alignment horizontal="right"/>
    </xf>
    <xf numFmtId="2" fontId="40" fillId="22" borderId="61" xfId="0" applyNumberFormat="1" applyFont="1" applyFill="1" applyBorder="1" applyAlignment="1">
      <alignment horizontal="center" vertical="center"/>
    </xf>
    <xf numFmtId="2" fontId="40" fillId="22" borderId="14" xfId="0" applyNumberFormat="1" applyFont="1" applyFill="1" applyBorder="1" applyAlignment="1">
      <alignment horizontal="center" vertical="center"/>
    </xf>
    <xf numFmtId="0" fontId="45" fillId="5" borderId="18" xfId="94" applyFont="1" applyFill="1" applyBorder="1" applyAlignment="1">
      <alignment wrapText="1"/>
    </xf>
    <xf numFmtId="2" fontId="40" fillId="5" borderId="14" xfId="94" applyNumberFormat="1" applyFont="1" applyFill="1" applyBorder="1" applyAlignment="1">
      <alignment horizontal="center" vertical="center"/>
    </xf>
    <xf numFmtId="0" fontId="40" fillId="0" borderId="0" xfId="94" applyFont="1" applyFill="1" applyBorder="1" applyAlignment="1">
      <alignment horizontal="center" vertical="center"/>
    </xf>
    <xf numFmtId="0" fontId="95" fillId="0" borderId="7" xfId="0" applyFont="1" applyFill="1" applyBorder="1" applyAlignment="1">
      <alignment wrapText="1"/>
    </xf>
    <xf numFmtId="0" fontId="40" fillId="22" borderId="18" xfId="94" applyFont="1" applyFill="1" applyBorder="1"/>
    <xf numFmtId="0" fontId="40" fillId="22" borderId="14" xfId="0" applyFont="1" applyFill="1" applyBorder="1" applyAlignment="1">
      <alignment horizontal="center" wrapText="1"/>
    </xf>
    <xf numFmtId="9" fontId="40" fillId="22" borderId="14" xfId="136" applyNumberFormat="1" applyFont="1" applyFill="1" applyBorder="1" applyAlignment="1">
      <alignment horizontal="center"/>
    </xf>
    <xf numFmtId="9" fontId="40" fillId="0" borderId="14" xfId="136" applyFont="1" applyFill="1" applyBorder="1" applyAlignment="1">
      <alignment horizontal="center"/>
    </xf>
    <xf numFmtId="0" fontId="40" fillId="0" borderId="18" xfId="94" applyFont="1" applyFill="1" applyBorder="1"/>
    <xf numFmtId="0" fontId="45" fillId="0" borderId="14" xfId="94" applyFont="1" applyBorder="1" applyAlignment="1">
      <alignment horizontal="center"/>
    </xf>
    <xf numFmtId="0" fontId="45" fillId="22" borderId="18" xfId="94" applyFont="1" applyFill="1" applyBorder="1"/>
    <xf numFmtId="0" fontId="45" fillId="5" borderId="23" xfId="94" applyFont="1" applyFill="1" applyBorder="1"/>
    <xf numFmtId="0" fontId="45" fillId="5" borderId="0" xfId="94" applyFont="1" applyFill="1" applyBorder="1" applyAlignment="1">
      <alignment horizontal="center"/>
    </xf>
    <xf numFmtId="0" fontId="45" fillId="5" borderId="0" xfId="94" applyFont="1" applyFill="1" applyBorder="1" applyAlignment="1">
      <alignment horizontal="right"/>
    </xf>
    <xf numFmtId="0" fontId="40" fillId="22" borderId="56" xfId="0" applyFont="1" applyFill="1" applyBorder="1" applyAlignment="1">
      <alignment horizontal="center"/>
    </xf>
    <xf numFmtId="0" fontId="45" fillId="0" borderId="56" xfId="94" applyFont="1" applyBorder="1" applyAlignment="1">
      <alignment horizontal="center"/>
    </xf>
    <xf numFmtId="0" fontId="45" fillId="22" borderId="71" xfId="94" applyFont="1" applyFill="1" applyBorder="1"/>
    <xf numFmtId="0" fontId="45" fillId="0" borderId="18" xfId="94" applyFont="1" applyBorder="1"/>
    <xf numFmtId="0" fontId="40" fillId="0" borderId="0" xfId="94" applyFont="1" applyFill="1" applyBorder="1"/>
    <xf numFmtId="0" fontId="40" fillId="0" borderId="0" xfId="94" applyFont="1" applyFill="1" applyBorder="1" applyAlignment="1">
      <alignment horizontal="left" vertical="center" wrapText="1"/>
    </xf>
    <xf numFmtId="4" fontId="40" fillId="0" borderId="0" xfId="94" applyNumberFormat="1" applyFont="1" applyAlignment="1">
      <alignment horizontal="center"/>
    </xf>
    <xf numFmtId="0" fontId="40" fillId="0" borderId="14" xfId="2" applyFont="1" applyFill="1" applyBorder="1" applyAlignment="1">
      <alignment horizontal="center"/>
    </xf>
    <xf numFmtId="4" fontId="40" fillId="0" borderId="6" xfId="2" applyNumberFormat="1" applyFont="1" applyFill="1" applyBorder="1" applyAlignment="1">
      <alignment horizontal="center" vertical="center"/>
    </xf>
    <xf numFmtId="2" fontId="40" fillId="22" borderId="14" xfId="0" applyNumberFormat="1" applyFont="1" applyFill="1" applyBorder="1" applyAlignment="1">
      <alignment horizontal="center"/>
    </xf>
    <xf numFmtId="0" fontId="45" fillId="0" borderId="6" xfId="94" applyFont="1" applyBorder="1"/>
    <xf numFmtId="0" fontId="32" fillId="0" borderId="14" xfId="0" applyFont="1" applyBorder="1" applyAlignment="1">
      <alignment horizontal="center" vertical="center"/>
    </xf>
    <xf numFmtId="2" fontId="40" fillId="5" borderId="14" xfId="0" applyNumberFormat="1" applyFont="1" applyFill="1" applyBorder="1" applyAlignment="1">
      <alignment horizontal="center" vertical="center"/>
    </xf>
    <xf numFmtId="0" fontId="45" fillId="5" borderId="71" xfId="94" applyFont="1" applyFill="1" applyBorder="1" applyAlignment="1">
      <alignment wrapText="1"/>
    </xf>
    <xf numFmtId="0" fontId="45" fillId="0" borderId="0" xfId="94" applyFont="1" applyFill="1" applyBorder="1"/>
    <xf numFmtId="4" fontId="40" fillId="0" borderId="14" xfId="2" applyNumberFormat="1" applyFont="1" applyFill="1" applyBorder="1" applyAlignment="1">
      <alignment horizontal="center" vertical="center"/>
    </xf>
    <xf numFmtId="0" fontId="40" fillId="22" borderId="71" xfId="94" applyFont="1" applyFill="1" applyBorder="1" applyAlignment="1">
      <alignment vertical="center"/>
    </xf>
    <xf numFmtId="0" fontId="40" fillId="0" borderId="8" xfId="0" applyFont="1" applyFill="1" applyBorder="1"/>
    <xf numFmtId="0" fontId="40" fillId="0" borderId="9" xfId="94" applyFont="1" applyBorder="1"/>
    <xf numFmtId="2" fontId="40" fillId="22" borderId="9" xfId="0" applyNumberFormat="1" applyFont="1" applyFill="1" applyBorder="1" applyAlignment="1">
      <alignment horizontal="center"/>
    </xf>
    <xf numFmtId="0" fontId="40" fillId="0" borderId="9" xfId="0" applyFont="1" applyFill="1" applyBorder="1" applyAlignment="1">
      <alignment horizontal="center"/>
    </xf>
    <xf numFmtId="0" fontId="45" fillId="0" borderId="78" xfId="94" applyFont="1" applyFill="1" applyBorder="1"/>
    <xf numFmtId="2" fontId="40" fillId="0" borderId="0" xfId="0" applyNumberFormat="1" applyFont="1" applyFill="1" applyBorder="1" applyAlignment="1">
      <alignment horizontal="center"/>
    </xf>
    <xf numFmtId="0" fontId="47" fillId="0" borderId="30"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23" xfId="0" applyFont="1" applyFill="1" applyBorder="1" applyAlignment="1">
      <alignment horizontal="center" vertical="center"/>
    </xf>
    <xf numFmtId="0" fontId="49" fillId="0" borderId="0" xfId="0" applyFont="1" applyFill="1" applyBorder="1" applyAlignment="1">
      <alignment horizontal="left" vertical="center"/>
    </xf>
    <xf numFmtId="0" fontId="49" fillId="19" borderId="3" xfId="0" applyFont="1" applyFill="1" applyBorder="1"/>
    <xf numFmtId="0" fontId="45" fillId="5" borderId="0" xfId="94" applyFont="1" applyFill="1" applyBorder="1" applyAlignment="1">
      <alignment wrapText="1"/>
    </xf>
    <xf numFmtId="182" fontId="53" fillId="19" borderId="10" xfId="2" applyNumberFormat="1" applyFont="1" applyFill="1" applyBorder="1" applyAlignment="1"/>
    <xf numFmtId="4" fontId="53" fillId="0" borderId="0" xfId="135" applyNumberFormat="1" applyFont="1" applyFill="1" applyBorder="1" applyAlignment="1">
      <alignment horizontal="right"/>
    </xf>
    <xf numFmtId="182" fontId="53" fillId="0" borderId="0" xfId="2" applyNumberFormat="1" applyFont="1" applyFill="1" applyBorder="1" applyAlignment="1"/>
    <xf numFmtId="176" fontId="98" fillId="5" borderId="0" xfId="18" applyNumberFormat="1" applyFont="1" applyFill="1" applyBorder="1" applyAlignment="1">
      <alignment horizontal="center" wrapText="1"/>
    </xf>
    <xf numFmtId="0" fontId="98" fillId="5" borderId="0" xfId="94" applyFont="1" applyFill="1" applyBorder="1" applyAlignment="1">
      <alignment vertical="center"/>
    </xf>
    <xf numFmtId="176" fontId="98" fillId="0" borderId="0" xfId="18" applyNumberFormat="1" applyFont="1" applyFill="1" applyBorder="1" applyAlignment="1">
      <alignment horizontal="center" wrapText="1"/>
    </xf>
    <xf numFmtId="0" fontId="53" fillId="0" borderId="0" xfId="0" applyFont="1" applyFill="1" applyBorder="1"/>
    <xf numFmtId="0" fontId="40" fillId="0" borderId="6" xfId="0" applyFont="1" applyFill="1" applyBorder="1"/>
    <xf numFmtId="0" fontId="45" fillId="0" borderId="0" xfId="94" applyFont="1" applyBorder="1" applyAlignment="1">
      <alignment vertical="center"/>
    </xf>
    <xf numFmtId="10" fontId="40" fillId="22" borderId="14" xfId="136" applyNumberFormat="1" applyFont="1" applyFill="1" applyBorder="1" applyAlignment="1">
      <alignment horizontal="center" vertical="center"/>
    </xf>
    <xf numFmtId="0" fontId="87" fillId="22" borderId="18" xfId="138" applyFont="1" applyFill="1" applyBorder="1" applyAlignment="1">
      <alignment vertical="center" wrapText="1"/>
    </xf>
    <xf numFmtId="10" fontId="40" fillId="22" borderId="14" xfId="136" applyNumberFormat="1" applyFont="1" applyFill="1" applyBorder="1" applyAlignment="1">
      <alignment horizontal="center"/>
    </xf>
    <xf numFmtId="0" fontId="40" fillId="0" borderId="56" xfId="0" applyFont="1" applyFill="1" applyBorder="1" applyAlignment="1">
      <alignment horizontal="center"/>
    </xf>
    <xf numFmtId="4" fontId="40" fillId="22" borderId="56" xfId="136" applyNumberFormat="1" applyFont="1" applyFill="1" applyBorder="1" applyAlignment="1">
      <alignment horizontal="center" vertical="center"/>
    </xf>
    <xf numFmtId="0" fontId="40" fillId="0" borderId="56" xfId="94" applyFont="1" applyFill="1" applyBorder="1" applyAlignment="1">
      <alignment horizontal="center" vertical="center"/>
    </xf>
    <xf numFmtId="165" fontId="40" fillId="0" borderId="14" xfId="94" applyNumberFormat="1" applyFont="1" applyFill="1" applyBorder="1" applyAlignment="1">
      <alignment horizontal="center" vertical="center"/>
    </xf>
    <xf numFmtId="0" fontId="40" fillId="0" borderId="14" xfId="94" applyFont="1" applyFill="1" applyBorder="1" applyAlignment="1">
      <alignment horizontal="center" vertical="center"/>
    </xf>
    <xf numFmtId="0" fontId="45" fillId="0" borderId="7" xfId="94" applyFont="1" applyBorder="1"/>
    <xf numFmtId="0" fontId="45" fillId="0" borderId="14" xfId="94" applyFont="1" applyBorder="1"/>
    <xf numFmtId="0" fontId="40" fillId="22" borderId="56" xfId="0" applyFont="1" applyFill="1" applyBorder="1" applyAlignment="1">
      <alignment horizontal="center" vertical="center"/>
    </xf>
    <xf numFmtId="9" fontId="40" fillId="0" borderId="0" xfId="136" applyFont="1" applyFill="1" applyBorder="1" applyAlignment="1">
      <alignment horizontal="center" vertical="center"/>
    </xf>
    <xf numFmtId="0" fontId="40" fillId="0" borderId="8" xfId="94" applyFont="1" applyBorder="1"/>
    <xf numFmtId="0" fontId="45" fillId="0" borderId="9" xfId="94" applyFont="1" applyBorder="1"/>
    <xf numFmtId="0" fontId="40" fillId="22" borderId="70" xfId="94" applyFont="1" applyFill="1" applyBorder="1" applyAlignment="1">
      <alignment horizontal="center" vertical="center"/>
    </xf>
    <xf numFmtId="0" fontId="45" fillId="0" borderId="70" xfId="94" applyFont="1" applyBorder="1" applyAlignment="1">
      <alignment horizontal="center"/>
    </xf>
    <xf numFmtId="0" fontId="45" fillId="0" borderId="0" xfId="94" applyFont="1" applyFill="1" applyBorder="1" applyAlignment="1">
      <alignment horizontal="left" wrapText="1"/>
    </xf>
    <xf numFmtId="165" fontId="45" fillId="0" borderId="0" xfId="94" applyNumberFormat="1" applyFont="1" applyFill="1" applyBorder="1"/>
    <xf numFmtId="0" fontId="45" fillId="0" borderId="0" xfId="94" applyFont="1" applyFill="1" applyBorder="1" applyAlignment="1">
      <alignment vertical="center"/>
    </xf>
    <xf numFmtId="0" fontId="45" fillId="5" borderId="0" xfId="94" applyFont="1" applyFill="1" applyBorder="1"/>
    <xf numFmtId="4" fontId="98" fillId="5" borderId="0" xfId="94" applyNumberFormat="1" applyFont="1" applyFill="1" applyBorder="1" applyAlignment="1">
      <alignment vertical="center"/>
    </xf>
    <xf numFmtId="4" fontId="49" fillId="5" borderId="0" xfId="94" applyNumberFormat="1" applyFont="1" applyFill="1" applyBorder="1" applyAlignment="1">
      <alignment vertical="center"/>
    </xf>
    <xf numFmtId="0" fontId="49" fillId="19" borderId="5" xfId="2" applyFont="1" applyFill="1" applyBorder="1" applyAlignment="1"/>
    <xf numFmtId="182" fontId="49" fillId="19" borderId="10" xfId="2" applyNumberFormat="1" applyFont="1" applyFill="1" applyBorder="1" applyAlignment="1"/>
    <xf numFmtId="4" fontId="49" fillId="0" borderId="0" xfId="2" applyNumberFormat="1" applyFont="1" applyFill="1" applyBorder="1" applyAlignment="1">
      <alignment horizontal="right"/>
    </xf>
    <xf numFmtId="182" fontId="49" fillId="0" borderId="0" xfId="2" applyNumberFormat="1" applyFont="1" applyFill="1" applyBorder="1" applyAlignment="1"/>
    <xf numFmtId="0" fontId="45" fillId="0" borderId="28" xfId="94" applyFont="1" applyBorder="1"/>
    <xf numFmtId="0" fontId="45" fillId="5" borderId="21" xfId="94" applyFont="1" applyFill="1" applyBorder="1" applyAlignment="1">
      <alignment wrapText="1"/>
    </xf>
    <xf numFmtId="176" fontId="98" fillId="5" borderId="21" xfId="18" applyNumberFormat="1" applyFont="1" applyFill="1" applyBorder="1" applyAlignment="1">
      <alignment horizontal="center" wrapText="1"/>
    </xf>
    <xf numFmtId="0" fontId="98" fillId="5" borderId="21" xfId="94" applyFont="1" applyFill="1" applyBorder="1" applyAlignment="1">
      <alignment vertical="center"/>
    </xf>
    <xf numFmtId="0" fontId="49" fillId="0" borderId="21" xfId="0" applyFont="1" applyFill="1" applyBorder="1"/>
    <xf numFmtId="182" fontId="49" fillId="0" borderId="21" xfId="2" applyNumberFormat="1" applyFont="1" applyFill="1" applyBorder="1" applyAlignment="1">
      <alignment horizontal="center"/>
    </xf>
    <xf numFmtId="0" fontId="45" fillId="0" borderId="21" xfId="94" applyFont="1" applyFill="1" applyBorder="1"/>
    <xf numFmtId="0" fontId="45" fillId="0" borderId="21" xfId="94" applyFont="1" applyBorder="1"/>
    <xf numFmtId="0" fontId="45" fillId="0" borderId="24" xfId="94" applyFont="1" applyBorder="1"/>
    <xf numFmtId="0" fontId="45" fillId="0" borderId="25" xfId="94" applyFont="1" applyBorder="1"/>
    <xf numFmtId="0" fontId="99" fillId="5" borderId="25" xfId="94" applyFont="1" applyFill="1" applyBorder="1"/>
    <xf numFmtId="0" fontId="99" fillId="0" borderId="25" xfId="94" applyFont="1" applyBorder="1" applyAlignment="1">
      <alignment horizontal="right"/>
    </xf>
    <xf numFmtId="0" fontId="45" fillId="5" borderId="25" xfId="94" applyFont="1" applyFill="1" applyBorder="1"/>
    <xf numFmtId="0" fontId="99" fillId="5" borderId="0" xfId="94" applyFont="1" applyFill="1" applyBorder="1"/>
    <xf numFmtId="0" fontId="99" fillId="0" borderId="0" xfId="94" applyFont="1" applyBorder="1" applyAlignment="1">
      <alignment horizontal="right"/>
    </xf>
    <xf numFmtId="165" fontId="45" fillId="0" borderId="0" xfId="94" applyNumberFormat="1" applyFont="1" applyBorder="1"/>
    <xf numFmtId="0" fontId="99" fillId="0" borderId="0" xfId="94" applyFont="1" applyBorder="1" applyAlignment="1">
      <alignment horizontal="center"/>
    </xf>
    <xf numFmtId="0" fontId="32" fillId="0" borderId="0" xfId="0" applyFont="1" applyBorder="1" applyAlignment="1">
      <alignment horizontal="center" vertical="center"/>
    </xf>
    <xf numFmtId="165" fontId="32" fillId="0" borderId="0" xfId="0" applyNumberFormat="1" applyFont="1" applyBorder="1" applyAlignment="1">
      <alignment horizontal="center" vertical="center"/>
    </xf>
    <xf numFmtId="0" fontId="32" fillId="0" borderId="0" xfId="0" applyFont="1" applyBorder="1" applyAlignment="1">
      <alignment horizontal="center" vertical="center" wrapText="1"/>
    </xf>
    <xf numFmtId="0" fontId="96" fillId="0" borderId="0" xfId="94" applyFont="1" applyBorder="1"/>
    <xf numFmtId="165" fontId="32" fillId="0" borderId="0" xfId="0" applyNumberFormat="1" applyFont="1"/>
    <xf numFmtId="0" fontId="32" fillId="0" borderId="55" xfId="0" applyFont="1" applyBorder="1"/>
    <xf numFmtId="165" fontId="32" fillId="0" borderId="56" xfId="0" applyNumberFormat="1" applyFont="1" applyBorder="1"/>
    <xf numFmtId="0" fontId="32" fillId="0" borderId="56" xfId="0" applyFont="1" applyBorder="1"/>
    <xf numFmtId="0" fontId="32" fillId="0" borderId="57" xfId="0" applyFont="1" applyBorder="1"/>
    <xf numFmtId="0" fontId="32" fillId="0" borderId="58" xfId="0" applyFont="1" applyBorder="1"/>
    <xf numFmtId="165" fontId="32" fillId="0" borderId="0" xfId="0" applyNumberFormat="1" applyFont="1" applyBorder="1"/>
    <xf numFmtId="0" fontId="32" fillId="0" borderId="59" xfId="0" applyFont="1" applyBorder="1"/>
    <xf numFmtId="0" fontId="32" fillId="0" borderId="60" xfId="0" applyFont="1" applyBorder="1"/>
    <xf numFmtId="9" fontId="32" fillId="0" borderId="0" xfId="0" applyNumberFormat="1" applyFont="1" applyBorder="1"/>
    <xf numFmtId="9" fontId="32" fillId="0" borderId="59" xfId="0" applyNumberFormat="1" applyFont="1" applyBorder="1"/>
    <xf numFmtId="0" fontId="73" fillId="0" borderId="0" xfId="0" applyFont="1" applyBorder="1"/>
    <xf numFmtId="165" fontId="32" fillId="0" borderId="55" xfId="0" applyNumberFormat="1" applyFont="1" applyBorder="1"/>
    <xf numFmtId="0" fontId="32" fillId="0" borderId="64" xfId="0" applyFont="1" applyBorder="1"/>
    <xf numFmtId="0" fontId="73" fillId="0" borderId="0" xfId="0" applyFont="1" applyFill="1" applyBorder="1"/>
    <xf numFmtId="165" fontId="32" fillId="0" borderId="60" xfId="0" applyNumberFormat="1" applyFont="1" applyBorder="1"/>
    <xf numFmtId="9" fontId="32" fillId="0" borderId="62" xfId="0" applyNumberFormat="1" applyFont="1" applyBorder="1"/>
    <xf numFmtId="0" fontId="40" fillId="0" borderId="64" xfId="94" applyFont="1" applyBorder="1" applyAlignment="1">
      <alignment horizontal="left"/>
    </xf>
    <xf numFmtId="165" fontId="40" fillId="0" borderId="0" xfId="94" applyNumberFormat="1" applyFont="1" applyBorder="1" applyAlignment="1">
      <alignment horizontal="left"/>
    </xf>
    <xf numFmtId="165" fontId="32" fillId="0" borderId="56" xfId="0" applyNumberFormat="1" applyFont="1" applyBorder="1" applyAlignment="1">
      <alignment horizontal="right"/>
    </xf>
    <xf numFmtId="165" fontId="32" fillId="0" borderId="58" xfId="0" applyNumberFormat="1" applyFont="1" applyBorder="1"/>
    <xf numFmtId="0" fontId="40" fillId="0" borderId="64" xfId="94" applyFont="1" applyFill="1" applyBorder="1" applyAlignment="1">
      <alignment horizontal="left"/>
    </xf>
    <xf numFmtId="165" fontId="40" fillId="0" borderId="0" xfId="94" applyNumberFormat="1" applyFont="1" applyFill="1" applyBorder="1" applyAlignment="1">
      <alignment horizontal="left"/>
    </xf>
    <xf numFmtId="165" fontId="40" fillId="0" borderId="60" xfId="94" applyNumberFormat="1" applyFont="1" applyBorder="1" applyAlignment="1">
      <alignment horizontal="left"/>
    </xf>
    <xf numFmtId="0" fontId="32" fillId="0" borderId="26" xfId="0" applyFont="1" applyBorder="1"/>
    <xf numFmtId="0" fontId="32" fillId="0" borderId="0" xfId="0" applyFont="1" applyBorder="1" applyAlignment="1">
      <alignment horizontal="center"/>
    </xf>
    <xf numFmtId="177" fontId="32" fillId="5" borderId="0" xfId="136" applyNumberFormat="1" applyFont="1" applyFill="1" applyBorder="1"/>
    <xf numFmtId="0" fontId="58" fillId="0" borderId="0" xfId="0" applyFont="1" applyBorder="1"/>
    <xf numFmtId="165" fontId="32" fillId="0" borderId="0" xfId="0" applyNumberFormat="1" applyFont="1" applyAlignment="1">
      <alignment horizontal="center"/>
    </xf>
    <xf numFmtId="0" fontId="40" fillId="0" borderId="0" xfId="94" applyFont="1" applyFill="1" applyBorder="1" applyAlignment="1">
      <alignment wrapText="1"/>
    </xf>
    <xf numFmtId="165" fontId="40" fillId="5" borderId="11" xfId="94" applyNumberFormat="1" applyFont="1" applyFill="1" applyBorder="1" applyAlignment="1">
      <alignment horizontal="center" vertical="center"/>
    </xf>
    <xf numFmtId="0" fontId="40" fillId="0" borderId="11" xfId="94" applyFont="1" applyFill="1" applyBorder="1" applyAlignment="1">
      <alignment vertical="center"/>
    </xf>
    <xf numFmtId="0" fontId="42" fillId="0" borderId="0" xfId="94" applyFont="1" applyFill="1" applyBorder="1" applyAlignment="1">
      <alignment wrapText="1"/>
    </xf>
    <xf numFmtId="0" fontId="42" fillId="5" borderId="11" xfId="94" applyFont="1" applyFill="1" applyBorder="1" applyAlignment="1">
      <alignment horizontal="center" vertical="center"/>
    </xf>
    <xf numFmtId="0" fontId="42" fillId="0" borderId="11" xfId="94" applyFont="1" applyFill="1" applyBorder="1"/>
    <xf numFmtId="0" fontId="42" fillId="0" borderId="0" xfId="94" applyFont="1" applyFill="1" applyBorder="1" applyAlignment="1">
      <alignment vertical="center" wrapText="1"/>
    </xf>
    <xf numFmtId="2" fontId="40" fillId="5" borderId="11" xfId="94" applyNumberFormat="1" applyFont="1" applyFill="1" applyBorder="1" applyAlignment="1">
      <alignment horizontal="center" vertical="center"/>
    </xf>
    <xf numFmtId="0" fontId="40" fillId="0" borderId="12" xfId="94" applyFont="1" applyFill="1" applyBorder="1" applyAlignment="1">
      <alignment horizontal="right" vertical="center" wrapText="1"/>
    </xf>
    <xf numFmtId="0" fontId="40" fillId="0" borderId="51" xfId="94" applyFont="1" applyFill="1" applyBorder="1" applyAlignment="1">
      <alignment horizontal="right" vertical="center" wrapText="1"/>
    </xf>
    <xf numFmtId="0" fontId="42" fillId="0" borderId="0" xfId="94" applyFont="1" applyFill="1" applyBorder="1" applyAlignment="1">
      <alignment horizontal="left" vertical="center" wrapText="1"/>
    </xf>
    <xf numFmtId="2" fontId="32" fillId="0" borderId="0" xfId="0" applyNumberFormat="1" applyFont="1" applyAlignment="1">
      <alignment horizontal="center"/>
    </xf>
    <xf numFmtId="4" fontId="53" fillId="19" borderId="11" xfId="94" applyNumberFormat="1" applyFont="1" applyFill="1" applyBorder="1" applyAlignment="1">
      <alignment horizontal="center" vertical="center"/>
    </xf>
    <xf numFmtId="0" fontId="53" fillId="19" borderId="11" xfId="2" applyFont="1" applyFill="1" applyBorder="1" applyAlignment="1">
      <alignment horizontal="left" vertical="center"/>
    </xf>
    <xf numFmtId="0" fontId="73" fillId="0" borderId="0" xfId="0" applyFont="1" applyFill="1" applyAlignment="1"/>
    <xf numFmtId="0" fontId="73" fillId="0" borderId="0" xfId="0" applyFont="1" applyFill="1" applyBorder="1" applyAlignment="1"/>
    <xf numFmtId="0" fontId="40" fillId="0" borderId="0" xfId="0" applyFont="1" applyBorder="1"/>
    <xf numFmtId="0" fontId="40" fillId="0" borderId="0" xfId="0" applyFont="1" applyBorder="1" applyAlignment="1">
      <alignment horizontal="left" vertical="center" wrapText="1"/>
    </xf>
    <xf numFmtId="0" fontId="32" fillId="0" borderId="106" xfId="0" applyFont="1" applyBorder="1"/>
    <xf numFmtId="0" fontId="47" fillId="0" borderId="0" xfId="0" applyFont="1" applyBorder="1" applyAlignment="1">
      <alignment horizontal="center"/>
    </xf>
    <xf numFmtId="0" fontId="32" fillId="0" borderId="4" xfId="0" applyFont="1" applyBorder="1"/>
    <xf numFmtId="0" fontId="42" fillId="0" borderId="0" xfId="0" applyFont="1" applyFill="1" applyBorder="1" applyAlignment="1">
      <alignment vertical="center" wrapText="1"/>
    </xf>
    <xf numFmtId="3" fontId="40" fillId="22" borderId="14" xfId="0" applyNumberFormat="1" applyFont="1" applyFill="1" applyBorder="1" applyAlignment="1">
      <alignment horizontal="center" vertical="center"/>
    </xf>
    <xf numFmtId="0" fontId="32" fillId="0" borderId="30" xfId="0" applyFont="1" applyBorder="1" applyAlignment="1"/>
    <xf numFmtId="0" fontId="32" fillId="0" borderId="7" xfId="0" applyFont="1" applyBorder="1" applyAlignment="1">
      <alignment horizontal="center"/>
    </xf>
    <xf numFmtId="0" fontId="32" fillId="22" borderId="14" xfId="0" applyFont="1" applyFill="1" applyBorder="1" applyAlignment="1">
      <alignment horizontal="center" vertical="center"/>
    </xf>
    <xf numFmtId="0" fontId="67" fillId="0" borderId="0" xfId="0" applyFont="1" applyBorder="1" applyAlignment="1">
      <alignment vertical="center" wrapText="1"/>
    </xf>
    <xf numFmtId="3" fontId="40" fillId="22" borderId="56" xfId="0" applyNumberFormat="1" applyFont="1" applyFill="1" applyBorder="1" applyAlignment="1">
      <alignment horizontal="center" vertical="center"/>
    </xf>
    <xf numFmtId="0" fontId="32" fillId="0" borderId="0" xfId="0" applyFont="1" applyFill="1" applyBorder="1" applyAlignment="1"/>
    <xf numFmtId="0" fontId="40" fillId="0" borderId="6" xfId="0" applyFont="1" applyFill="1" applyBorder="1" applyAlignment="1">
      <alignment horizontal="left" vertical="center"/>
    </xf>
    <xf numFmtId="0" fontId="32" fillId="0" borderId="0" xfId="0" applyFont="1" applyFill="1" applyBorder="1" applyAlignment="1">
      <alignment horizontal="left" vertical="center"/>
    </xf>
    <xf numFmtId="4" fontId="40" fillId="22" borderId="56" xfId="0" applyNumberFormat="1" applyFont="1" applyFill="1" applyBorder="1" applyAlignment="1">
      <alignment horizontal="center" vertical="center"/>
    </xf>
    <xf numFmtId="0" fontId="35" fillId="0" borderId="6" xfId="0" applyFont="1" applyBorder="1" applyAlignment="1">
      <alignment horizontal="left" vertical="center"/>
    </xf>
    <xf numFmtId="0" fontId="40" fillId="0" borderId="0" xfId="0" applyFont="1" applyBorder="1" applyAlignment="1">
      <alignment horizontal="center" vertical="center"/>
    </xf>
    <xf numFmtId="0" fontId="32" fillId="0" borderId="56" xfId="0" applyFont="1" applyBorder="1" applyAlignment="1">
      <alignment horizontal="center"/>
    </xf>
    <xf numFmtId="0" fontId="32" fillId="0" borderId="71" xfId="0" applyFont="1" applyBorder="1" applyAlignment="1">
      <alignment horizontal="center" wrapText="1"/>
    </xf>
    <xf numFmtId="0" fontId="101" fillId="22" borderId="14" xfId="0" applyFont="1" applyFill="1" applyBorder="1" applyAlignment="1">
      <alignment horizontal="center" wrapText="1"/>
    </xf>
    <xf numFmtId="0" fontId="101" fillId="22" borderId="18" xfId="0" applyFont="1" applyFill="1" applyBorder="1" applyAlignment="1">
      <alignment horizontal="center" wrapText="1"/>
    </xf>
    <xf numFmtId="0" fontId="32" fillId="0" borderId="105" xfId="0" applyFont="1" applyBorder="1"/>
    <xf numFmtId="0" fontId="77" fillId="0" borderId="0" xfId="0" applyFont="1" applyFill="1"/>
    <xf numFmtId="0" fontId="32" fillId="0" borderId="30" xfId="0" applyFont="1" applyFill="1" applyBorder="1"/>
    <xf numFmtId="0" fontId="77" fillId="0" borderId="0" xfId="0" applyFont="1" applyFill="1" applyBorder="1"/>
    <xf numFmtId="0" fontId="77" fillId="0" borderId="23" xfId="0" applyFont="1" applyFill="1" applyBorder="1"/>
    <xf numFmtId="44" fontId="40" fillId="0" borderId="0" xfId="0" applyNumberFormat="1" applyFont="1" applyBorder="1" applyAlignment="1">
      <alignment horizontal="left"/>
    </xf>
    <xf numFmtId="44" fontId="32" fillId="0" borderId="0" xfId="0" applyNumberFormat="1" applyFont="1" applyBorder="1" applyAlignment="1"/>
    <xf numFmtId="0" fontId="63" fillId="0" borderId="0" xfId="0" applyFont="1" applyFill="1" applyBorder="1"/>
    <xf numFmtId="4" fontId="63" fillId="0" borderId="0" xfId="0" applyNumberFormat="1" applyFont="1" applyFill="1" applyBorder="1" applyAlignment="1">
      <alignment horizontal="center"/>
    </xf>
    <xf numFmtId="44" fontId="32" fillId="0" borderId="0" xfId="0" applyNumberFormat="1" applyFont="1" applyFill="1" applyBorder="1" applyAlignment="1"/>
    <xf numFmtId="0" fontId="49" fillId="0" borderId="0" xfId="0" applyFont="1" applyBorder="1"/>
    <xf numFmtId="44" fontId="56" fillId="0" borderId="0" xfId="0" applyNumberFormat="1" applyFont="1" applyBorder="1" applyAlignment="1">
      <alignment horizontal="left"/>
    </xf>
    <xf numFmtId="0" fontId="40" fillId="0" borderId="9" xfId="0" applyFont="1" applyBorder="1"/>
    <xf numFmtId="0" fontId="32" fillId="0" borderId="30" xfId="0" applyFont="1" applyBorder="1" applyAlignment="1">
      <alignment wrapText="1"/>
    </xf>
    <xf numFmtId="0" fontId="53" fillId="0" borderId="11" xfId="0" applyFont="1" applyFill="1" applyBorder="1" applyAlignment="1">
      <alignment horizontal="center" vertical="center" wrapText="1"/>
    </xf>
    <xf numFmtId="0" fontId="53" fillId="0" borderId="11" xfId="0" applyFont="1" applyFill="1" applyBorder="1" applyAlignment="1">
      <alignment horizontal="center" wrapText="1"/>
    </xf>
    <xf numFmtId="0" fontId="32" fillId="0" borderId="0" xfId="0" applyFont="1" applyFill="1" applyBorder="1" applyAlignment="1">
      <alignment wrapText="1"/>
    </xf>
    <xf numFmtId="3" fontId="35" fillId="22" borderId="13" xfId="0" applyNumberFormat="1" applyFont="1" applyFill="1" applyBorder="1" applyAlignment="1">
      <alignment horizontal="center"/>
    </xf>
    <xf numFmtId="0" fontId="53" fillId="0" borderId="11" xfId="0" applyFont="1" applyFill="1" applyBorder="1" applyAlignment="1">
      <alignment horizontal="center"/>
    </xf>
    <xf numFmtId="3" fontId="35" fillId="22" borderId="38" xfId="0" applyNumberFormat="1" applyFont="1" applyFill="1" applyBorder="1" applyAlignment="1">
      <alignment horizontal="center"/>
    </xf>
    <xf numFmtId="0" fontId="53" fillId="0" borderId="39" xfId="0" applyFont="1" applyFill="1" applyBorder="1" applyAlignment="1">
      <alignment horizontal="center"/>
    </xf>
    <xf numFmtId="3" fontId="35" fillId="22" borderId="39" xfId="0" applyNumberFormat="1" applyFont="1" applyFill="1" applyBorder="1" applyAlignment="1">
      <alignment horizontal="center"/>
    </xf>
    <xf numFmtId="0" fontId="42" fillId="0" borderId="0" xfId="0" applyFont="1" applyBorder="1"/>
    <xf numFmtId="0" fontId="34" fillId="0" borderId="0" xfId="0" applyFont="1" applyBorder="1"/>
    <xf numFmtId="44" fontId="32" fillId="0" borderId="0" xfId="0" applyNumberFormat="1" applyFont="1" applyFill="1" applyBorder="1" applyAlignment="1">
      <alignment horizontal="center"/>
    </xf>
    <xf numFmtId="44" fontId="32" fillId="0" borderId="0" xfId="0" applyNumberFormat="1" applyFont="1" applyBorder="1" applyAlignment="1">
      <alignment horizontal="center"/>
    </xf>
    <xf numFmtId="44" fontId="32" fillId="0" borderId="0" xfId="0" applyNumberFormat="1" applyFont="1" applyBorder="1" applyAlignment="1">
      <alignment horizontal="left"/>
    </xf>
    <xf numFmtId="44" fontId="91" fillId="0" borderId="0" xfId="0" applyNumberFormat="1" applyFont="1" applyBorder="1" applyAlignment="1">
      <alignment horizontal="left"/>
    </xf>
    <xf numFmtId="0" fontId="57" fillId="0" borderId="11" xfId="0" applyFont="1" applyFill="1" applyBorder="1" applyAlignment="1">
      <alignment horizontal="center" vertical="center"/>
    </xf>
    <xf numFmtId="0" fontId="34" fillId="0" borderId="11" xfId="0" applyFont="1" applyFill="1" applyBorder="1" applyAlignment="1">
      <alignment horizontal="center"/>
    </xf>
    <xf numFmtId="0" fontId="34" fillId="0" borderId="39" xfId="0" applyFont="1" applyFill="1" applyBorder="1" applyAlignment="1">
      <alignment horizontal="center"/>
    </xf>
    <xf numFmtId="0" fontId="40" fillId="0" borderId="0" xfId="0" applyFont="1" applyBorder="1" applyAlignment="1">
      <alignment vertical="center" wrapText="1"/>
    </xf>
    <xf numFmtId="0" fontId="43" fillId="0" borderId="0" xfId="0" applyFont="1" applyBorder="1" applyAlignment="1">
      <alignment horizontal="left" vertical="center" wrapText="1"/>
    </xf>
    <xf numFmtId="0" fontId="40" fillId="0" borderId="4" xfId="0" applyFont="1" applyBorder="1" applyAlignment="1">
      <alignment horizontal="left" vertical="center" wrapText="1"/>
    </xf>
    <xf numFmtId="0" fontId="43" fillId="0" borderId="4" xfId="0" applyFont="1" applyBorder="1" applyAlignment="1">
      <alignment horizontal="left" vertical="center" wrapText="1"/>
    </xf>
    <xf numFmtId="0" fontId="32" fillId="0" borderId="6" xfId="0" applyFont="1" applyFill="1" applyBorder="1"/>
    <xf numFmtId="3" fontId="40" fillId="22" borderId="14" xfId="0" applyNumberFormat="1" applyFont="1" applyFill="1" applyBorder="1" applyAlignment="1">
      <alignment horizontal="center"/>
    </xf>
    <xf numFmtId="0" fontId="39" fillId="0" borderId="0" xfId="0" applyFont="1"/>
    <xf numFmtId="3" fontId="35" fillId="22" borderId="14" xfId="0" applyNumberFormat="1" applyFont="1" applyFill="1" applyBorder="1" applyAlignment="1">
      <alignment horizontal="center"/>
    </xf>
    <xf numFmtId="0" fontId="32" fillId="5" borderId="0" xfId="0" applyFont="1" applyFill="1" applyBorder="1" applyAlignment="1">
      <alignment horizontal="right" vertical="center"/>
    </xf>
    <xf numFmtId="0" fontId="32" fillId="0" borderId="0" xfId="0" applyFont="1" applyFill="1" applyBorder="1" applyAlignment="1">
      <alignment vertical="center"/>
    </xf>
    <xf numFmtId="0" fontId="42" fillId="0" borderId="0" xfId="0" applyFont="1" applyFill="1" applyBorder="1" applyAlignment="1">
      <alignment horizontal="right" vertical="center"/>
    </xf>
    <xf numFmtId="0" fontId="32" fillId="0" borderId="6" xfId="0" applyFont="1" applyFill="1" applyBorder="1" applyAlignment="1"/>
    <xf numFmtId="183" fontId="35" fillId="22" borderId="14" xfId="0" applyNumberFormat="1" applyFont="1" applyFill="1" applyBorder="1" applyAlignment="1">
      <alignment horizontal="center"/>
    </xf>
    <xf numFmtId="0" fontId="32" fillId="5" borderId="0" xfId="0" applyFont="1" applyFill="1" applyBorder="1" applyAlignment="1">
      <alignment horizontal="center"/>
    </xf>
    <xf numFmtId="0" fontId="32" fillId="0" borderId="0" xfId="0" applyFont="1" applyFill="1" applyBorder="1" applyAlignment="1">
      <alignment horizontal="right" vertical="center"/>
    </xf>
    <xf numFmtId="0" fontId="32" fillId="0" borderId="6" xfId="0" applyFont="1" applyFill="1" applyBorder="1" applyAlignment="1">
      <alignment vertical="center"/>
    </xf>
    <xf numFmtId="0" fontId="40" fillId="0" borderId="0" xfId="0" applyFont="1" applyFill="1" applyBorder="1" applyAlignment="1">
      <alignment horizontal="left" vertical="center"/>
    </xf>
    <xf numFmtId="9" fontId="35" fillId="22" borderId="14" xfId="136" applyFont="1" applyFill="1" applyBorder="1" applyAlignment="1">
      <alignment horizontal="center" vertical="center"/>
    </xf>
    <xf numFmtId="0" fontId="32" fillId="0" borderId="7" xfId="0" applyFont="1" applyBorder="1"/>
    <xf numFmtId="0" fontId="32" fillId="5" borderId="9" xfId="0" applyFont="1" applyFill="1" applyBorder="1" applyAlignment="1">
      <alignment horizontal="center" vertical="center"/>
    </xf>
    <xf numFmtId="0" fontId="48" fillId="0" borderId="0" xfId="138" applyFont="1" applyBorder="1"/>
    <xf numFmtId="0" fontId="34" fillId="0" borderId="0" xfId="0" applyFont="1" applyFill="1" applyBorder="1"/>
    <xf numFmtId="0" fontId="32" fillId="0" borderId="3" xfId="0" applyFont="1" applyBorder="1"/>
    <xf numFmtId="0" fontId="32" fillId="0" borderId="6" xfId="0" applyFont="1" applyBorder="1" applyAlignment="1">
      <alignment horizontal="center" vertical="center"/>
    </xf>
    <xf numFmtId="0" fontId="32" fillId="0" borderId="0" xfId="0" applyFont="1" applyFill="1" applyBorder="1" applyAlignment="1">
      <alignment horizontal="center"/>
    </xf>
    <xf numFmtId="0" fontId="32" fillId="5" borderId="7" xfId="0" applyFont="1" applyFill="1" applyBorder="1" applyAlignment="1">
      <alignment horizontal="center"/>
    </xf>
    <xf numFmtId="0" fontId="77" fillId="0" borderId="0" xfId="0" applyFont="1" applyFill="1" applyBorder="1" applyAlignment="1">
      <alignment horizontal="center"/>
    </xf>
    <xf numFmtId="4" fontId="35" fillId="22" borderId="59" xfId="0" applyNumberFormat="1" applyFont="1" applyFill="1" applyBorder="1" applyAlignment="1">
      <alignment horizontal="center" wrapText="1"/>
    </xf>
    <xf numFmtId="4" fontId="35" fillId="22" borderId="64" xfId="0" applyNumberFormat="1" applyFont="1" applyFill="1" applyBorder="1" applyAlignment="1">
      <alignment horizontal="center" wrapText="1"/>
    </xf>
    <xf numFmtId="4" fontId="35" fillId="22" borderId="89" xfId="0" applyNumberFormat="1" applyFont="1" applyFill="1" applyBorder="1" applyAlignment="1">
      <alignment horizontal="center" wrapText="1"/>
    </xf>
    <xf numFmtId="4" fontId="35" fillId="22" borderId="51" xfId="0" applyNumberFormat="1" applyFont="1" applyFill="1" applyBorder="1" applyAlignment="1">
      <alignment horizontal="center"/>
    </xf>
    <xf numFmtId="4" fontId="35" fillId="22" borderId="37" xfId="0" applyNumberFormat="1" applyFont="1" applyFill="1" applyBorder="1" applyAlignment="1">
      <alignment horizontal="center"/>
    </xf>
    <xf numFmtId="0" fontId="32" fillId="0" borderId="0" xfId="0" applyFont="1" applyFill="1" applyBorder="1" applyAlignment="1">
      <alignment vertical="center" wrapText="1"/>
    </xf>
    <xf numFmtId="4" fontId="35" fillId="22" borderId="86" xfId="0" applyNumberFormat="1" applyFont="1" applyFill="1" applyBorder="1" applyAlignment="1">
      <alignment horizontal="center"/>
    </xf>
    <xf numFmtId="4" fontId="35" fillId="22" borderId="87" xfId="0" applyNumberFormat="1" applyFont="1" applyFill="1" applyBorder="1" applyAlignment="1">
      <alignment horizontal="center"/>
    </xf>
    <xf numFmtId="4" fontId="35" fillId="22" borderId="88" xfId="0" applyNumberFormat="1" applyFont="1" applyFill="1" applyBorder="1" applyAlignment="1">
      <alignment horizontal="center"/>
    </xf>
    <xf numFmtId="0" fontId="39" fillId="0" borderId="14" xfId="0" applyFont="1" applyFill="1" applyBorder="1" applyAlignment="1">
      <alignment horizontal="center" vertical="center"/>
    </xf>
    <xf numFmtId="0" fontId="39" fillId="0" borderId="51" xfId="0" applyFont="1" applyFill="1" applyBorder="1" applyAlignment="1">
      <alignment horizontal="center" vertical="center"/>
    </xf>
    <xf numFmtId="3" fontId="67" fillId="22" borderId="11" xfId="0" applyNumberFormat="1" applyFont="1" applyFill="1" applyBorder="1" applyAlignment="1">
      <alignment horizontal="center"/>
    </xf>
    <xf numFmtId="0" fontId="32" fillId="22" borderId="37" xfId="0" applyFont="1" applyFill="1" applyBorder="1"/>
    <xf numFmtId="2" fontId="32" fillId="22" borderId="37" xfId="0" applyNumberFormat="1" applyFont="1" applyFill="1" applyBorder="1" applyAlignment="1">
      <alignment horizontal="center"/>
    </xf>
    <xf numFmtId="2" fontId="32" fillId="0" borderId="0" xfId="0" applyNumberFormat="1" applyFont="1" applyFill="1" applyBorder="1" applyAlignment="1">
      <alignment horizontal="center"/>
    </xf>
    <xf numFmtId="0" fontId="32" fillId="0" borderId="0" xfId="0" applyFont="1" applyFill="1" applyBorder="1" applyAlignment="1">
      <alignment horizontal="center" vertical="center"/>
    </xf>
    <xf numFmtId="2" fontId="32" fillId="22" borderId="40" xfId="0" applyNumberFormat="1" applyFont="1" applyFill="1" applyBorder="1" applyAlignment="1">
      <alignment horizontal="center"/>
    </xf>
    <xf numFmtId="2" fontId="32" fillId="0" borderId="23" xfId="0" applyNumberFormat="1" applyFont="1" applyFill="1" applyBorder="1" applyAlignment="1">
      <alignment horizontal="center"/>
    </xf>
    <xf numFmtId="0" fontId="32" fillId="0" borderId="0" xfId="0" applyFont="1" applyBorder="1" applyAlignment="1">
      <alignment vertical="center" wrapText="1"/>
    </xf>
    <xf numFmtId="0" fontId="39" fillId="5" borderId="14" xfId="0" applyFont="1" applyFill="1" applyBorder="1" applyAlignment="1">
      <alignment horizontal="center" vertical="center"/>
    </xf>
    <xf numFmtId="0" fontId="39" fillId="22" borderId="13" xfId="0" applyFont="1" applyFill="1" applyBorder="1" applyAlignment="1">
      <alignment vertical="center"/>
    </xf>
    <xf numFmtId="178" fontId="32" fillId="22" borderId="11" xfId="135" applyNumberFormat="1" applyFont="1" applyFill="1" applyBorder="1" applyAlignment="1">
      <alignment horizontal="center"/>
    </xf>
    <xf numFmtId="178" fontId="32" fillId="22" borderId="11" xfId="135" applyNumberFormat="1" applyFont="1" applyFill="1" applyBorder="1" applyAlignment="1">
      <alignment horizontal="center" wrapText="1"/>
    </xf>
    <xf numFmtId="43" fontId="32" fillId="22" borderId="11" xfId="135" applyNumberFormat="1" applyFont="1" applyFill="1" applyBorder="1" applyAlignment="1">
      <alignment horizontal="center"/>
    </xf>
    <xf numFmtId="0" fontId="39" fillId="22" borderId="38" xfId="0" applyFont="1" applyFill="1" applyBorder="1" applyAlignment="1">
      <alignment vertical="center"/>
    </xf>
    <xf numFmtId="178" fontId="32" fillId="22" borderId="39" xfId="135" applyNumberFormat="1" applyFont="1" applyFill="1" applyBorder="1" applyAlignment="1">
      <alignment horizontal="center"/>
    </xf>
    <xf numFmtId="178" fontId="32" fillId="22" borderId="39" xfId="135" applyNumberFormat="1" applyFont="1" applyFill="1" applyBorder="1" applyAlignment="1">
      <alignment horizontal="center" wrapText="1"/>
    </xf>
    <xf numFmtId="43" fontId="32" fillId="22" borderId="39" xfId="135" applyNumberFormat="1" applyFont="1" applyFill="1" applyBorder="1" applyAlignment="1">
      <alignment horizontal="center"/>
    </xf>
    <xf numFmtId="0" fontId="39" fillId="0" borderId="0" xfId="0" applyFont="1" applyFill="1" applyBorder="1" applyAlignment="1">
      <alignment vertical="center"/>
    </xf>
    <xf numFmtId="178" fontId="32" fillId="0" borderId="0" xfId="135" applyNumberFormat="1" applyFont="1" applyFill="1" applyBorder="1" applyAlignment="1">
      <alignment horizontal="center"/>
    </xf>
    <xf numFmtId="178" fontId="32" fillId="0" borderId="0" xfId="135" applyNumberFormat="1" applyFont="1" applyFill="1" applyBorder="1" applyAlignment="1">
      <alignment horizontal="center" wrapText="1"/>
    </xf>
    <xf numFmtId="43" fontId="32" fillId="0" borderId="0" xfId="135" applyNumberFormat="1" applyFont="1" applyFill="1" applyBorder="1" applyAlignment="1">
      <alignment horizontal="center"/>
    </xf>
    <xf numFmtId="0" fontId="39" fillId="0" borderId="0" xfId="0" applyFont="1" applyFill="1" applyBorder="1"/>
    <xf numFmtId="4" fontId="32" fillId="0" borderId="0" xfId="0" applyNumberFormat="1" applyFont="1" applyFill="1" applyBorder="1"/>
    <xf numFmtId="0" fontId="32" fillId="0" borderId="0" xfId="0" applyFont="1" applyFill="1" applyBorder="1" applyAlignment="1">
      <alignment horizontal="center" vertical="center" wrapText="1"/>
    </xf>
    <xf numFmtId="0" fontId="105" fillId="0" borderId="0" xfId="0" applyFont="1"/>
    <xf numFmtId="0" fontId="49" fillId="0" borderId="23" xfId="0" applyFont="1" applyFill="1" applyBorder="1"/>
    <xf numFmtId="0" fontId="49" fillId="0" borderId="0" xfId="0" applyFont="1" applyFill="1"/>
    <xf numFmtId="0" fontId="49" fillId="0" borderId="11" xfId="0" applyFont="1" applyFill="1" applyBorder="1" applyAlignment="1">
      <alignment horizontal="center" vertical="center" wrapText="1"/>
    </xf>
    <xf numFmtId="0" fontId="49" fillId="0" borderId="11" xfId="0" applyFont="1" applyFill="1" applyBorder="1" applyAlignment="1">
      <alignment horizontal="center" wrapText="1"/>
    </xf>
    <xf numFmtId="0" fontId="107" fillId="0" borderId="0" xfId="0" applyFont="1" applyFill="1" applyBorder="1"/>
    <xf numFmtId="0" fontId="32" fillId="0" borderId="23" xfId="0" applyFont="1" applyFill="1" applyBorder="1" applyAlignment="1"/>
    <xf numFmtId="0" fontId="32" fillId="0" borderId="23" xfId="0" applyFont="1" applyFill="1" applyBorder="1" applyAlignment="1">
      <alignment horizontal="center"/>
    </xf>
    <xf numFmtId="0" fontId="107" fillId="0" borderId="23" xfId="0" applyFont="1" applyFill="1" applyBorder="1"/>
    <xf numFmtId="0" fontId="34" fillId="19" borderId="3" xfId="0" applyFont="1" applyFill="1" applyBorder="1"/>
    <xf numFmtId="0" fontId="34" fillId="19" borderId="5" xfId="0" applyFont="1" applyFill="1" applyBorder="1"/>
    <xf numFmtId="2" fontId="32" fillId="0" borderId="0" xfId="0" applyNumberFormat="1" applyFont="1" applyBorder="1"/>
    <xf numFmtId="0" fontId="34" fillId="19" borderId="8" xfId="0" applyFont="1" applyFill="1" applyBorder="1"/>
    <xf numFmtId="44" fontId="34" fillId="19" borderId="10" xfId="0" applyNumberFormat="1" applyFont="1" applyFill="1" applyBorder="1" applyAlignment="1"/>
    <xf numFmtId="0" fontId="34" fillId="19" borderId="37" xfId="0" applyFont="1" applyFill="1" applyBorder="1" applyAlignment="1">
      <alignment horizontal="center"/>
    </xf>
    <xf numFmtId="0" fontId="32" fillId="5" borderId="0" xfId="0" applyFont="1" applyFill="1" applyBorder="1" applyAlignment="1"/>
    <xf numFmtId="0" fontId="107" fillId="5" borderId="0" xfId="0" applyFont="1" applyFill="1" applyBorder="1"/>
    <xf numFmtId="0" fontId="32" fillId="5" borderId="23" xfId="0" applyFont="1" applyFill="1" applyBorder="1" applyAlignment="1"/>
    <xf numFmtId="0" fontId="32" fillId="5" borderId="23" xfId="0" applyFont="1" applyFill="1" applyBorder="1" applyAlignment="1">
      <alignment horizontal="center"/>
    </xf>
    <xf numFmtId="0" fontId="107" fillId="5" borderId="23" xfId="0" applyFont="1" applyFill="1" applyBorder="1"/>
    <xf numFmtId="0" fontId="34" fillId="19" borderId="40" xfId="0" applyFont="1" applyFill="1" applyBorder="1" applyAlignment="1">
      <alignment horizontal="center"/>
    </xf>
    <xf numFmtId="0" fontId="107" fillId="5" borderId="21" xfId="0" applyFont="1" applyFill="1" applyBorder="1"/>
    <xf numFmtId="0" fontId="107" fillId="5" borderId="24" xfId="0" applyFont="1" applyFill="1" applyBorder="1"/>
    <xf numFmtId="0" fontId="32" fillId="0" borderId="0" xfId="0" quotePrefix="1" applyFont="1"/>
    <xf numFmtId="0" fontId="108" fillId="0" borderId="0" xfId="0" applyFont="1" applyFill="1" applyBorder="1"/>
    <xf numFmtId="0" fontId="39" fillId="0" borderId="0" xfId="0" applyFont="1" applyFill="1" applyBorder="1" applyAlignment="1">
      <alignment vertical="center" wrapText="1"/>
    </xf>
    <xf numFmtId="0" fontId="46" fillId="0" borderId="0" xfId="0" applyFont="1" applyFill="1" applyBorder="1"/>
    <xf numFmtId="0" fontId="32" fillId="0" borderId="94" xfId="0" applyFont="1" applyBorder="1"/>
    <xf numFmtId="0" fontId="32" fillId="0" borderId="94" xfId="0" applyFont="1" applyBorder="1" applyAlignment="1">
      <alignment horizontal="center"/>
    </xf>
    <xf numFmtId="9" fontId="32" fillId="0" borderId="94" xfId="0" applyNumberFormat="1" applyFont="1" applyBorder="1" applyAlignment="1">
      <alignment horizontal="center"/>
    </xf>
    <xf numFmtId="178" fontId="32" fillId="0" borderId="94" xfId="135" applyNumberFormat="1" applyFont="1" applyBorder="1"/>
    <xf numFmtId="0" fontId="32" fillId="0" borderId="14" xfId="0" applyFont="1" applyBorder="1"/>
    <xf numFmtId="0" fontId="39" fillId="0" borderId="14" xfId="0" applyFont="1" applyBorder="1" applyAlignment="1">
      <alignment horizontal="left"/>
    </xf>
    <xf numFmtId="9" fontId="32" fillId="0" borderId="14" xfId="0" applyNumberFormat="1" applyFont="1" applyBorder="1" applyAlignment="1">
      <alignment horizontal="center"/>
    </xf>
    <xf numFmtId="0" fontId="32" fillId="0" borderId="14" xfId="0" applyFont="1" applyBorder="1" applyAlignment="1">
      <alignment horizontal="center"/>
    </xf>
    <xf numFmtId="178" fontId="32" fillId="0" borderId="14" xfId="135" applyNumberFormat="1" applyFont="1" applyBorder="1"/>
    <xf numFmtId="2" fontId="32" fillId="0" borderId="0" xfId="0" applyNumberFormat="1" applyFont="1" applyFill="1" applyBorder="1" applyAlignment="1">
      <alignment horizontal="center" vertical="center" wrapText="1"/>
    </xf>
    <xf numFmtId="2" fontId="32" fillId="0" borderId="0" xfId="0" applyNumberFormat="1" applyFont="1"/>
    <xf numFmtId="0" fontId="39" fillId="0" borderId="101" xfId="0" applyFont="1" applyFill="1" applyBorder="1" applyAlignment="1">
      <alignment vertical="center"/>
    </xf>
    <xf numFmtId="0" fontId="32" fillId="0" borderId="101" xfId="0" applyFont="1" applyFill="1" applyBorder="1" applyAlignment="1">
      <alignment horizontal="center" vertical="center"/>
    </xf>
    <xf numFmtId="0" fontId="32" fillId="0" borderId="101" xfId="0" applyFont="1" applyFill="1" applyBorder="1" applyAlignment="1">
      <alignment horizontal="center"/>
    </xf>
    <xf numFmtId="2" fontId="32" fillId="0" borderId="101" xfId="0" applyNumberFormat="1" applyFont="1" applyFill="1" applyBorder="1" applyAlignment="1">
      <alignment horizontal="center" vertical="center" wrapText="1"/>
    </xf>
    <xf numFmtId="0" fontId="39" fillId="0" borderId="14" xfId="0" applyFont="1" applyFill="1" applyBorder="1" applyAlignment="1">
      <alignment vertical="center"/>
    </xf>
    <xf numFmtId="0" fontId="32" fillId="0" borderId="14" xfId="0" applyFont="1" applyFill="1" applyBorder="1" applyAlignment="1">
      <alignment horizontal="center" vertical="center"/>
    </xf>
    <xf numFmtId="0" fontId="32" fillId="0" borderId="14" xfId="0" applyFont="1" applyFill="1" applyBorder="1" applyAlignment="1">
      <alignment horizontal="center"/>
    </xf>
    <xf numFmtId="2" fontId="32" fillId="0" borderId="14" xfId="0" applyNumberFormat="1" applyFont="1" applyFill="1" applyBorder="1" applyAlignment="1">
      <alignment horizontal="center" vertical="center" wrapText="1"/>
    </xf>
    <xf numFmtId="0" fontId="39" fillId="0" borderId="14" xfId="0" applyFont="1" applyBorder="1"/>
    <xf numFmtId="165" fontId="32" fillId="0" borderId="14" xfId="0" applyNumberFormat="1" applyFont="1" applyFill="1" applyBorder="1" applyAlignment="1">
      <alignment horizontal="center"/>
    </xf>
    <xf numFmtId="0" fontId="39" fillId="0" borderId="14" xfId="0" applyFont="1" applyFill="1" applyBorder="1" applyAlignment="1">
      <alignment vertical="center" wrapText="1"/>
    </xf>
    <xf numFmtId="0" fontId="32" fillId="0" borderId="14" xfId="0" applyFont="1" applyFill="1" applyBorder="1" applyAlignment="1">
      <alignment horizontal="center" vertical="center" wrapText="1"/>
    </xf>
    <xf numFmtId="0" fontId="39" fillId="0" borderId="14" xfId="0" applyFont="1" applyBorder="1" applyAlignment="1"/>
    <xf numFmtId="2" fontId="32" fillId="0" borderId="0" xfId="0" applyNumberFormat="1" applyFont="1" applyFill="1" applyBorder="1" applyAlignment="1">
      <alignment horizontal="left" vertical="center" wrapText="1"/>
    </xf>
    <xf numFmtId="0" fontId="39" fillId="0" borderId="14" xfId="0" applyFont="1" applyBorder="1" applyAlignment="1">
      <alignment horizontal="center"/>
    </xf>
    <xf numFmtId="178" fontId="32" fillId="0" borderId="14" xfId="135" applyNumberFormat="1" applyFont="1" applyBorder="1" applyAlignment="1">
      <alignment horizontal="center"/>
    </xf>
    <xf numFmtId="0" fontId="32" fillId="0" borderId="0" xfId="0" applyFont="1" applyAlignment="1">
      <alignment horizontal="right"/>
    </xf>
    <xf numFmtId="0" fontId="46" fillId="0" borderId="0" xfId="0" applyFont="1" applyFill="1"/>
    <xf numFmtId="0" fontId="32" fillId="0" borderId="33" xfId="0" applyFont="1" applyBorder="1"/>
    <xf numFmtId="0" fontId="42" fillId="0" borderId="0" xfId="0" applyFont="1"/>
    <xf numFmtId="0" fontId="32" fillId="0" borderId="14" xfId="0" applyFont="1" applyFill="1" applyBorder="1"/>
    <xf numFmtId="178" fontId="32" fillId="0" borderId="0" xfId="0" applyNumberFormat="1" applyFont="1"/>
    <xf numFmtId="43" fontId="32" fillId="0" borderId="0" xfId="135" applyFont="1" applyAlignment="1"/>
    <xf numFmtId="9" fontId="32" fillId="0" borderId="0" xfId="0" applyNumberFormat="1" applyFont="1"/>
    <xf numFmtId="179" fontId="32" fillId="0" borderId="0" xfId="0" applyNumberFormat="1" applyFont="1"/>
    <xf numFmtId="0" fontId="32" fillId="0" borderId="56" xfId="0" applyFont="1" applyFill="1" applyBorder="1" applyAlignment="1">
      <alignment horizontal="center" vertical="center"/>
    </xf>
    <xf numFmtId="43" fontId="32" fillId="0" borderId="0" xfId="0" applyNumberFormat="1" applyFont="1"/>
    <xf numFmtId="0" fontId="32" fillId="0" borderId="94" xfId="0" applyFont="1" applyFill="1" applyBorder="1" applyAlignment="1">
      <alignment horizontal="center" vertical="center"/>
    </xf>
    <xf numFmtId="0" fontId="32" fillId="0" borderId="14" xfId="0" applyFont="1" applyFill="1" applyBorder="1" applyAlignment="1">
      <alignment horizontal="center" wrapText="1"/>
    </xf>
    <xf numFmtId="0" fontId="67" fillId="0" borderId="0" xfId="0" applyFont="1" applyFill="1" applyBorder="1" applyAlignment="1">
      <alignment horizontal="center" vertical="center"/>
    </xf>
    <xf numFmtId="0" fontId="32" fillId="0" borderId="33" xfId="0" applyFont="1" applyFill="1" applyBorder="1" applyAlignment="1">
      <alignment horizontal="center" vertical="center" wrapText="1"/>
    </xf>
    <xf numFmtId="2" fontId="32" fillId="0" borderId="33" xfId="0" applyNumberFormat="1" applyFont="1" applyFill="1" applyBorder="1" applyAlignment="1">
      <alignment horizontal="center" vertical="center" wrapText="1"/>
    </xf>
    <xf numFmtId="0" fontId="34" fillId="0" borderId="0" xfId="0" applyFont="1" applyFill="1" applyBorder="1" applyAlignment="1">
      <alignment vertical="center"/>
    </xf>
    <xf numFmtId="0" fontId="32" fillId="0" borderId="25" xfId="0" applyFont="1" applyFill="1" applyBorder="1" applyAlignment="1">
      <alignment vertical="center"/>
    </xf>
    <xf numFmtId="0" fontId="32" fillId="0" borderId="0" xfId="0" applyFont="1" applyFill="1" applyAlignment="1">
      <alignment vertical="center"/>
    </xf>
    <xf numFmtId="0" fontId="32" fillId="4" borderId="0" xfId="0" applyFont="1" applyFill="1" applyAlignment="1">
      <alignment vertical="center"/>
    </xf>
    <xf numFmtId="0" fontId="32" fillId="0" borderId="0" xfId="0" applyFont="1" applyAlignment="1">
      <alignment vertical="center"/>
    </xf>
    <xf numFmtId="0" fontId="32" fillId="4" borderId="33" xfId="0" applyFont="1" applyFill="1" applyBorder="1" applyAlignment="1">
      <alignment vertical="center"/>
    </xf>
    <xf numFmtId="0" fontId="113" fillId="5" borderId="30" xfId="0" applyFont="1" applyFill="1" applyBorder="1" applyAlignment="1">
      <alignment horizontal="left" vertical="center"/>
    </xf>
    <xf numFmtId="0" fontId="113" fillId="5" borderId="0" xfId="0" applyFont="1" applyFill="1" applyBorder="1" applyAlignment="1">
      <alignment horizontal="left" vertical="center"/>
    </xf>
    <xf numFmtId="0" fontId="32" fillId="5" borderId="0" xfId="0" applyFont="1" applyFill="1" applyBorder="1" applyAlignment="1">
      <alignment vertical="top" wrapText="1"/>
    </xf>
    <xf numFmtId="0" fontId="40" fillId="5" borderId="23" xfId="0" applyFont="1" applyFill="1" applyBorder="1" applyAlignment="1">
      <alignment vertical="top" wrapText="1"/>
    </xf>
    <xf numFmtId="0" fontId="40" fillId="5" borderId="0" xfId="0" applyFont="1" applyFill="1" applyBorder="1" applyAlignment="1">
      <alignment vertical="top" wrapText="1"/>
    </xf>
    <xf numFmtId="0" fontId="40" fillId="5" borderId="23" xfId="0" applyFont="1" applyFill="1" applyBorder="1" applyAlignment="1">
      <alignment horizontal="left" vertical="center" wrapText="1"/>
    </xf>
    <xf numFmtId="0" fontId="47" fillId="5" borderId="30" xfId="0" applyFont="1" applyFill="1" applyBorder="1" applyAlignment="1">
      <alignment horizontal="center" vertical="center"/>
    </xf>
    <xf numFmtId="0" fontId="47" fillId="5" borderId="0" xfId="0" applyFont="1" applyFill="1" applyBorder="1" applyAlignment="1">
      <alignment horizontal="center" vertical="center"/>
    </xf>
    <xf numFmtId="0" fontId="47" fillId="5" borderId="9" xfId="0" applyFont="1" applyFill="1" applyBorder="1" applyAlignment="1">
      <alignment horizontal="center" vertical="center"/>
    </xf>
    <xf numFmtId="0" fontId="47" fillId="5" borderId="23" xfId="0" applyFont="1" applyFill="1" applyBorder="1" applyAlignment="1">
      <alignment horizontal="center" vertical="center"/>
    </xf>
    <xf numFmtId="0" fontId="67" fillId="5" borderId="0" xfId="0" applyFont="1" applyFill="1" applyBorder="1"/>
    <xf numFmtId="0" fontId="32" fillId="5" borderId="4" xfId="0" applyFont="1" applyFill="1" applyBorder="1"/>
    <xf numFmtId="0" fontId="32" fillId="5" borderId="5" xfId="0" applyFont="1" applyFill="1" applyBorder="1" applyAlignment="1">
      <alignment horizontal="center"/>
    </xf>
    <xf numFmtId="2" fontId="32" fillId="22" borderId="91" xfId="0" applyNumberFormat="1" applyFont="1" applyFill="1" applyBorder="1" applyAlignment="1">
      <alignment horizontal="center"/>
    </xf>
    <xf numFmtId="0" fontId="32" fillId="5" borderId="94" xfId="0" applyFont="1" applyFill="1" applyBorder="1" applyAlignment="1">
      <alignment horizontal="center"/>
    </xf>
    <xf numFmtId="2" fontId="40" fillId="5" borderId="91" xfId="0" applyNumberFormat="1" applyFont="1" applyFill="1" applyBorder="1" applyAlignment="1">
      <alignment horizontal="center"/>
    </xf>
    <xf numFmtId="0" fontId="32" fillId="0" borderId="0" xfId="0" applyFont="1" applyBorder="1" applyAlignment="1">
      <alignment horizontal="center" wrapText="1"/>
    </xf>
    <xf numFmtId="0" fontId="32" fillId="0" borderId="7" xfId="0" applyFont="1" applyBorder="1" applyAlignment="1">
      <alignment horizontal="center" wrapText="1"/>
    </xf>
    <xf numFmtId="0" fontId="32" fillId="5" borderId="6" xfId="0" applyFont="1" applyFill="1" applyBorder="1"/>
    <xf numFmtId="0" fontId="32" fillId="5" borderId="6" xfId="0" applyFont="1" applyFill="1" applyBorder="1" applyAlignment="1">
      <alignment horizontal="right"/>
    </xf>
    <xf numFmtId="0" fontId="32" fillId="22" borderId="91" xfId="0" applyFont="1" applyFill="1" applyBorder="1" applyAlignment="1">
      <alignment horizontal="center"/>
    </xf>
    <xf numFmtId="0" fontId="32" fillId="5" borderId="14" xfId="0" applyFont="1" applyFill="1" applyBorder="1" applyAlignment="1">
      <alignment horizontal="center"/>
    </xf>
    <xf numFmtId="0" fontId="32" fillId="22" borderId="14" xfId="0" applyFont="1" applyFill="1" applyBorder="1" applyAlignment="1">
      <alignment horizontal="center"/>
    </xf>
    <xf numFmtId="0" fontId="32" fillId="22" borderId="18" xfId="0" applyFont="1" applyFill="1" applyBorder="1" applyAlignment="1">
      <alignment horizontal="center"/>
    </xf>
    <xf numFmtId="0" fontId="32" fillId="5" borderId="7" xfId="0" applyFont="1" applyFill="1" applyBorder="1"/>
    <xf numFmtId="0" fontId="35" fillId="5" borderId="6" xfId="0" applyFont="1" applyFill="1" applyBorder="1"/>
    <xf numFmtId="0" fontId="42" fillId="5" borderId="6" xfId="0" applyFont="1" applyFill="1" applyBorder="1"/>
    <xf numFmtId="0" fontId="40" fillId="5" borderId="0" xfId="0" applyFont="1" applyFill="1" applyBorder="1" applyAlignment="1">
      <alignment horizontal="right"/>
    </xf>
    <xf numFmtId="2" fontId="40" fillId="22" borderId="91" xfId="0" applyNumberFormat="1" applyFont="1" applyFill="1" applyBorder="1" applyAlignment="1">
      <alignment horizontal="center"/>
    </xf>
    <xf numFmtId="0" fontId="32" fillId="5" borderId="91" xfId="0" applyFont="1" applyFill="1" applyBorder="1" applyAlignment="1">
      <alignment horizontal="center"/>
    </xf>
    <xf numFmtId="0" fontId="32" fillId="22" borderId="95" xfId="0" applyFont="1" applyFill="1" applyBorder="1" applyAlignment="1">
      <alignment horizontal="center"/>
    </xf>
    <xf numFmtId="0" fontId="58" fillId="5" borderId="6" xfId="0" applyFont="1" applyFill="1" applyBorder="1" applyAlignment="1"/>
    <xf numFmtId="0" fontId="39" fillId="5" borderId="11" xfId="0" applyFont="1" applyFill="1" applyBorder="1" applyAlignment="1">
      <alignment horizontal="center"/>
    </xf>
    <xf numFmtId="0" fontId="39" fillId="5" borderId="63" xfId="0" applyFont="1" applyFill="1" applyBorder="1" applyAlignment="1">
      <alignment horizontal="center"/>
    </xf>
    <xf numFmtId="49" fontId="35" fillId="5" borderId="63" xfId="0" applyNumberFormat="1" applyFont="1" applyFill="1" applyBorder="1" applyAlignment="1">
      <alignment horizontal="center"/>
    </xf>
    <xf numFmtId="0" fontId="32" fillId="5" borderId="63" xfId="0" applyFont="1" applyFill="1" applyBorder="1" applyAlignment="1">
      <alignment horizontal="center"/>
    </xf>
    <xf numFmtId="0" fontId="35" fillId="5" borderId="63" xfId="0" applyFont="1" applyFill="1" applyBorder="1" applyAlignment="1">
      <alignment horizontal="center"/>
    </xf>
    <xf numFmtId="0" fontId="32" fillId="5" borderId="92" xfId="0" applyFont="1" applyFill="1" applyBorder="1" applyAlignment="1">
      <alignment horizontal="center"/>
    </xf>
    <xf numFmtId="0" fontId="32" fillId="5" borderId="11" xfId="0" applyFont="1" applyFill="1" applyBorder="1" applyAlignment="1">
      <alignment horizontal="center"/>
    </xf>
    <xf numFmtId="0" fontId="32" fillId="22" borderId="11" xfId="0" applyFont="1" applyFill="1" applyBorder="1" applyAlignment="1">
      <alignment horizontal="center"/>
    </xf>
    <xf numFmtId="180" fontId="32" fillId="22" borderId="11" xfId="0" applyNumberFormat="1" applyFont="1" applyFill="1" applyBorder="1" applyAlignment="1">
      <alignment horizontal="center"/>
    </xf>
    <xf numFmtId="187" fontId="32" fillId="22" borderId="11" xfId="0" applyNumberFormat="1" applyFont="1" applyFill="1" applyBorder="1" applyAlignment="1">
      <alignment horizontal="center"/>
    </xf>
    <xf numFmtId="43" fontId="32" fillId="5" borderId="11" xfId="135" applyFont="1" applyFill="1" applyBorder="1"/>
    <xf numFmtId="43" fontId="32" fillId="5" borderId="37" xfId="135" applyFont="1" applyFill="1" applyBorder="1"/>
    <xf numFmtId="0" fontId="58" fillId="5" borderId="0" xfId="0" applyFont="1" applyFill="1" applyBorder="1" applyAlignment="1"/>
    <xf numFmtId="0" fontId="58" fillId="5" borderId="23" xfId="0" applyFont="1" applyFill="1" applyBorder="1" applyAlignment="1"/>
    <xf numFmtId="0" fontId="32" fillId="5" borderId="0" xfId="0" applyFont="1" applyFill="1" applyAlignment="1"/>
    <xf numFmtId="0" fontId="32" fillId="5" borderId="93" xfId="0" applyFont="1" applyFill="1" applyBorder="1"/>
    <xf numFmtId="0" fontId="42" fillId="5" borderId="6" xfId="0" applyFont="1" applyFill="1" applyBorder="1" applyAlignment="1">
      <alignment horizontal="center"/>
    </xf>
    <xf numFmtId="43" fontId="32" fillId="0" borderId="56" xfId="135" applyFont="1" applyFill="1" applyBorder="1"/>
    <xf numFmtId="0" fontId="32" fillId="0" borderId="56" xfId="0" applyFont="1" applyFill="1" applyBorder="1"/>
    <xf numFmtId="0" fontId="32" fillId="0" borderId="7" xfId="0" applyFont="1" applyFill="1" applyBorder="1"/>
    <xf numFmtId="0" fontId="32" fillId="0" borderId="0" xfId="0" applyFont="1" applyFill="1" applyAlignment="1"/>
    <xf numFmtId="43" fontId="32" fillId="5" borderId="91" xfId="135" applyFont="1" applyFill="1" applyBorder="1" applyAlignment="1"/>
    <xf numFmtId="0" fontId="32" fillId="5" borderId="6" xfId="0" applyFont="1" applyFill="1" applyBorder="1" applyAlignment="1"/>
    <xf numFmtId="43" fontId="32" fillId="5" borderId="14" xfId="135" applyFont="1" applyFill="1" applyBorder="1" applyAlignment="1"/>
    <xf numFmtId="0" fontId="35" fillId="5" borderId="6" xfId="0" applyFont="1" applyFill="1" applyBorder="1" applyAlignment="1">
      <alignment vertical="center"/>
    </xf>
    <xf numFmtId="43" fontId="40" fillId="5" borderId="91" xfId="0" applyNumberFormat="1" applyFont="1" applyFill="1" applyBorder="1" applyAlignment="1"/>
    <xf numFmtId="0" fontId="40" fillId="5" borderId="91" xfId="0" applyFont="1" applyFill="1" applyBorder="1" applyAlignment="1">
      <alignment horizontal="center"/>
    </xf>
    <xf numFmtId="0" fontId="32" fillId="5" borderId="0" xfId="0" applyFont="1" applyFill="1" applyBorder="1" applyAlignment="1">
      <alignment horizontal="right"/>
    </xf>
    <xf numFmtId="43" fontId="90" fillId="22" borderId="14" xfId="135" applyFont="1" applyFill="1" applyBorder="1" applyAlignment="1"/>
    <xf numFmtId="4" fontId="32" fillId="22" borderId="14" xfId="3" applyNumberFormat="1" applyFont="1" applyFill="1" applyBorder="1" applyAlignment="1"/>
    <xf numFmtId="0" fontId="63" fillId="5" borderId="6" xfId="0" applyFont="1" applyFill="1" applyBorder="1"/>
    <xf numFmtId="43" fontId="32" fillId="5" borderId="0" xfId="135" applyFont="1" applyFill="1" applyBorder="1"/>
    <xf numFmtId="0" fontId="32" fillId="5" borderId="71" xfId="0" applyFont="1" applyFill="1" applyBorder="1" applyAlignment="1">
      <alignment horizontal="center"/>
    </xf>
    <xf numFmtId="0" fontId="32" fillId="5" borderId="91" xfId="0" applyFont="1" applyFill="1" applyBorder="1"/>
    <xf numFmtId="43" fontId="32" fillId="5" borderId="56" xfId="135" applyFont="1" applyFill="1" applyBorder="1"/>
    <xf numFmtId="0" fontId="58" fillId="5" borderId="0" xfId="0" applyFont="1" applyFill="1" applyBorder="1"/>
    <xf numFmtId="0" fontId="58" fillId="5" borderId="0" xfId="0" applyFont="1" applyFill="1" applyBorder="1" applyAlignment="1">
      <alignment horizontal="right"/>
    </xf>
    <xf numFmtId="43" fontId="114" fillId="5" borderId="0" xfId="135" applyFont="1" applyFill="1" applyBorder="1"/>
    <xf numFmtId="43" fontId="40" fillId="5" borderId="91" xfId="135" applyFont="1" applyFill="1" applyBorder="1"/>
    <xf numFmtId="43" fontId="40" fillId="5" borderId="14" xfId="135" applyFont="1" applyFill="1" applyBorder="1"/>
    <xf numFmtId="43" fontId="40" fillId="5" borderId="14" xfId="0" applyNumberFormat="1" applyFont="1" applyFill="1" applyBorder="1" applyAlignment="1">
      <alignment horizontal="center"/>
    </xf>
    <xf numFmtId="0" fontId="40" fillId="5" borderId="6" xfId="0" applyFont="1" applyFill="1" applyBorder="1" applyAlignment="1">
      <alignment horizontal="center"/>
    </xf>
    <xf numFmtId="43" fontId="115" fillId="22" borderId="14" xfId="135" applyFont="1" applyFill="1" applyBorder="1"/>
    <xf numFmtId="0" fontId="32" fillId="5" borderId="8" xfId="0" applyFont="1" applyFill="1" applyBorder="1"/>
    <xf numFmtId="0" fontId="32" fillId="5" borderId="9" xfId="0" applyFont="1" applyFill="1" applyBorder="1"/>
    <xf numFmtId="0" fontId="42" fillId="5" borderId="9" xfId="0" applyFont="1" applyFill="1" applyBorder="1" applyAlignment="1">
      <alignment horizontal="right"/>
    </xf>
    <xf numFmtId="43" fontId="90" fillId="5" borderId="9" xfId="135" applyFont="1" applyFill="1" applyBorder="1"/>
    <xf numFmtId="185" fontId="32" fillId="22" borderId="9" xfId="3" applyNumberFormat="1" applyFont="1" applyFill="1" applyBorder="1"/>
    <xf numFmtId="0" fontId="32" fillId="5" borderId="70" xfId="0" applyFont="1" applyFill="1" applyBorder="1" applyAlignment="1">
      <alignment horizontal="center"/>
    </xf>
    <xf numFmtId="0" fontId="32" fillId="22" borderId="70" xfId="0" applyFont="1" applyFill="1" applyBorder="1" applyAlignment="1">
      <alignment horizontal="center"/>
    </xf>
    <xf numFmtId="0" fontId="32" fillId="22" borderId="78" xfId="0" applyFont="1" applyFill="1" applyBorder="1" applyAlignment="1">
      <alignment horizontal="center"/>
    </xf>
    <xf numFmtId="0" fontId="47" fillId="5" borderId="0" xfId="0" applyFont="1" applyFill="1" applyBorder="1" applyAlignment="1">
      <alignment vertical="center"/>
    </xf>
    <xf numFmtId="0" fontId="42" fillId="5" borderId="0" xfId="0" applyFont="1" applyFill="1" applyBorder="1" applyAlignment="1">
      <alignment horizontal="right"/>
    </xf>
    <xf numFmtId="43" fontId="90" fillId="5" borderId="0" xfId="135" applyFont="1" applyFill="1" applyBorder="1"/>
    <xf numFmtId="185" fontId="32" fillId="0" borderId="0" xfId="3" applyNumberFormat="1" applyFont="1" applyFill="1" applyBorder="1"/>
    <xf numFmtId="0" fontId="32" fillId="5" borderId="106" xfId="0" applyFont="1" applyFill="1" applyBorder="1"/>
    <xf numFmtId="0" fontId="32" fillId="5" borderId="56" xfId="0" applyFont="1" applyFill="1" applyBorder="1"/>
    <xf numFmtId="0" fontId="32" fillId="5" borderId="105" xfId="0" applyFont="1" applyFill="1" applyBorder="1"/>
    <xf numFmtId="0" fontId="116" fillId="5" borderId="102" xfId="0" applyFont="1" applyFill="1" applyBorder="1"/>
    <xf numFmtId="0" fontId="116" fillId="0" borderId="104" xfId="0" applyFont="1" applyFill="1" applyBorder="1"/>
    <xf numFmtId="0" fontId="63" fillId="5" borderId="0" xfId="0" applyFont="1" applyFill="1" applyBorder="1"/>
    <xf numFmtId="0" fontId="39" fillId="5" borderId="0" xfId="0" applyFont="1" applyFill="1" applyBorder="1"/>
    <xf numFmtId="0" fontId="35" fillId="5" borderId="0" xfId="0" applyFont="1" applyFill="1" applyBorder="1"/>
    <xf numFmtId="0" fontId="32" fillId="5" borderId="6" xfId="0" applyFont="1" applyFill="1" applyBorder="1" applyAlignment="1">
      <alignment horizontal="center"/>
    </xf>
    <xf numFmtId="0" fontId="39" fillId="5" borderId="6" xfId="0" applyFont="1" applyFill="1" applyBorder="1"/>
    <xf numFmtId="3" fontId="40" fillId="0" borderId="14" xfId="0" applyNumberFormat="1" applyFont="1" applyFill="1" applyBorder="1" applyAlignment="1">
      <alignment horizontal="center" vertical="center"/>
    </xf>
    <xf numFmtId="4" fontId="40" fillId="0" borderId="0" xfId="0" applyNumberFormat="1" applyFont="1" applyFill="1" applyBorder="1" applyAlignment="1">
      <alignment horizontal="center" vertical="center"/>
    </xf>
    <xf numFmtId="0" fontId="32" fillId="22" borderId="0" xfId="0" applyFont="1" applyFill="1" applyBorder="1" applyAlignment="1">
      <alignment horizontal="center"/>
    </xf>
    <xf numFmtId="0" fontId="32" fillId="22" borderId="7" xfId="0" applyFont="1" applyFill="1" applyBorder="1" applyAlignment="1">
      <alignment horizontal="center"/>
    </xf>
    <xf numFmtId="0" fontId="32" fillId="5" borderId="7" xfId="0" applyFont="1" applyFill="1" applyBorder="1" applyAlignment="1"/>
    <xf numFmtId="0" fontId="40" fillId="5" borderId="63" xfId="0" applyFont="1" applyFill="1" applyBorder="1" applyAlignment="1">
      <alignment horizontal="center"/>
    </xf>
    <xf numFmtId="43" fontId="32" fillId="0" borderId="91" xfId="135" applyFont="1" applyFill="1" applyBorder="1"/>
    <xf numFmtId="0" fontId="32" fillId="0" borderId="91" xfId="0" applyFont="1" applyFill="1" applyBorder="1"/>
    <xf numFmtId="43" fontId="32" fillId="0" borderId="0" xfId="135" applyFont="1" applyFill="1" applyBorder="1"/>
    <xf numFmtId="43" fontId="58" fillId="5" borderId="0" xfId="135" applyFont="1" applyFill="1" applyBorder="1"/>
    <xf numFmtId="180" fontId="32" fillId="5" borderId="14" xfId="0" applyNumberFormat="1" applyFont="1" applyFill="1" applyBorder="1" applyAlignment="1">
      <alignment horizontal="center"/>
    </xf>
    <xf numFmtId="4" fontId="40" fillId="22" borderId="91" xfId="0" applyNumberFormat="1" applyFont="1" applyFill="1" applyBorder="1" applyAlignment="1">
      <alignment horizontal="right" vertical="center"/>
    </xf>
    <xf numFmtId="0" fontId="32" fillId="22" borderId="91" xfId="0" applyFont="1" applyFill="1" applyBorder="1"/>
    <xf numFmtId="0" fontId="32" fillId="22" borderId="95" xfId="0" applyFont="1" applyFill="1" applyBorder="1"/>
    <xf numFmtId="4" fontId="40" fillId="22" borderId="14" xfId="0" applyNumberFormat="1" applyFont="1" applyFill="1" applyBorder="1" applyAlignment="1">
      <alignment horizontal="right" vertical="center"/>
    </xf>
    <xf numFmtId="0" fontId="32" fillId="22" borderId="14" xfId="0" applyFont="1" applyFill="1" applyBorder="1"/>
    <xf numFmtId="0" fontId="32" fillId="22" borderId="18" xfId="0" applyFont="1" applyFill="1" applyBorder="1"/>
    <xf numFmtId="0" fontId="39" fillId="0" borderId="6" xfId="0" applyFont="1" applyFill="1" applyBorder="1"/>
    <xf numFmtId="0" fontId="42" fillId="0" borderId="0" xfId="0" applyFont="1" applyFill="1" applyBorder="1"/>
    <xf numFmtId="4" fontId="40" fillId="5" borderId="0" xfId="0" applyNumberFormat="1" applyFont="1" applyFill="1" applyBorder="1" applyAlignment="1">
      <alignment horizontal="center" vertical="center"/>
    </xf>
    <xf numFmtId="0" fontId="32" fillId="5" borderId="30" xfId="0" applyFont="1" applyFill="1" applyBorder="1" applyAlignment="1"/>
    <xf numFmtId="0" fontId="40" fillId="5" borderId="56" xfId="0" applyFont="1" applyFill="1" applyBorder="1" applyAlignment="1">
      <alignment horizontal="center"/>
    </xf>
    <xf numFmtId="0" fontId="32" fillId="22" borderId="56" xfId="0" applyFont="1" applyFill="1" applyBorder="1"/>
    <xf numFmtId="0" fontId="32" fillId="22" borderId="71" xfId="0" applyFont="1" applyFill="1" applyBorder="1"/>
    <xf numFmtId="0" fontId="47" fillId="5" borderId="56" xfId="0" applyFont="1" applyFill="1" applyBorder="1" applyAlignment="1">
      <alignment horizontal="center" vertical="center"/>
    </xf>
    <xf numFmtId="0" fontId="63" fillId="19" borderId="3" xfId="0" applyFont="1" applyFill="1" applyBorder="1"/>
    <xf numFmtId="190" fontId="49" fillId="19" borderId="4" xfId="135" applyNumberFormat="1" applyFont="1" applyFill="1" applyBorder="1" applyAlignment="1">
      <alignment horizontal="right"/>
    </xf>
    <xf numFmtId="0" fontId="63" fillId="19" borderId="5" xfId="0" applyFont="1" applyFill="1" applyBorder="1"/>
    <xf numFmtId="43" fontId="63" fillId="19" borderId="9" xfId="135" applyFont="1" applyFill="1" applyBorder="1" applyAlignment="1">
      <alignment horizontal="right"/>
    </xf>
    <xf numFmtId="182" fontId="63" fillId="19" borderId="10" xfId="0" applyNumberFormat="1" applyFont="1" applyFill="1" applyBorder="1" applyAlignment="1"/>
    <xf numFmtId="0" fontId="32" fillId="5" borderId="24" xfId="0" applyFont="1" applyFill="1" applyBorder="1"/>
    <xf numFmtId="0" fontId="108" fillId="0" borderId="0" xfId="0" applyFont="1" applyFill="1" applyBorder="1" applyAlignment="1"/>
    <xf numFmtId="0" fontId="32" fillId="0" borderId="94" xfId="0" applyFont="1" applyBorder="1" applyAlignment="1"/>
    <xf numFmtId="0" fontId="34" fillId="0" borderId="14" xfId="0" applyFont="1" applyBorder="1" applyAlignment="1">
      <alignment horizontal="center" vertical="center"/>
    </xf>
    <xf numFmtId="0" fontId="34" fillId="0" borderId="14" xfId="0" applyFont="1" applyBorder="1" applyAlignment="1">
      <alignment horizontal="center" vertical="center" wrapText="1"/>
    </xf>
    <xf numFmtId="0" fontId="32" fillId="0" borderId="14" xfId="0" applyFont="1" applyBorder="1" applyAlignment="1"/>
    <xf numFmtId="3" fontId="32" fillId="0" borderId="0" xfId="0" applyNumberFormat="1" applyFont="1" applyBorder="1" applyAlignment="1">
      <alignment horizontal="center"/>
    </xf>
    <xf numFmtId="0" fontId="32" fillId="0" borderId="94" xfId="0" applyFont="1" applyBorder="1" applyAlignment="1">
      <alignment horizontal="center" vertical="center" wrapText="1"/>
    </xf>
    <xf numFmtId="2" fontId="40" fillId="0" borderId="0" xfId="0" applyNumberFormat="1" applyFont="1" applyAlignment="1">
      <alignment horizontal="center"/>
    </xf>
    <xf numFmtId="2" fontId="32" fillId="0" borderId="94" xfId="0" applyNumberFormat="1" applyFont="1" applyBorder="1" applyAlignment="1">
      <alignment horizontal="center"/>
    </xf>
    <xf numFmtId="4" fontId="32" fillId="0" borderId="0" xfId="0" applyNumberFormat="1" applyFont="1" applyBorder="1" applyAlignment="1">
      <alignment horizontal="center"/>
    </xf>
    <xf numFmtId="0" fontId="53" fillId="0" borderId="94" xfId="0" applyFont="1" applyFill="1" applyBorder="1" applyAlignment="1"/>
    <xf numFmtId="0" fontId="40" fillId="0" borderId="94" xfId="0" applyFont="1" applyBorder="1"/>
    <xf numFmtId="0" fontId="40" fillId="0" borderId="14" xfId="0" applyFont="1" applyBorder="1"/>
    <xf numFmtId="0" fontId="32" fillId="0" borderId="91" xfId="0" applyFont="1" applyBorder="1"/>
    <xf numFmtId="4" fontId="32" fillId="0" borderId="91" xfId="0" applyNumberFormat="1" applyFont="1" applyBorder="1" applyAlignment="1">
      <alignment horizontal="center"/>
    </xf>
    <xf numFmtId="0" fontId="32" fillId="0" borderId="91" xfId="0" applyFont="1" applyBorder="1" applyAlignment="1"/>
    <xf numFmtId="187" fontId="40" fillId="0" borderId="14" xfId="0" applyNumberFormat="1" applyFont="1" applyBorder="1"/>
    <xf numFmtId="0" fontId="34" fillId="0" borderId="14" xfId="0" applyFont="1" applyBorder="1" applyAlignment="1">
      <alignment horizontal="center" wrapText="1"/>
    </xf>
    <xf numFmtId="0" fontId="34" fillId="0" borderId="14" xfId="0" applyFont="1" applyBorder="1" applyAlignment="1">
      <alignment horizontal="center"/>
    </xf>
    <xf numFmtId="0" fontId="34" fillId="0" borderId="91" xfId="0" applyFont="1" applyBorder="1" applyAlignment="1">
      <alignment horizontal="center"/>
    </xf>
    <xf numFmtId="180" fontId="32" fillId="0" borderId="14" xfId="0" applyNumberFormat="1" applyFont="1" applyBorder="1" applyAlignment="1">
      <alignment horizontal="center"/>
    </xf>
    <xf numFmtId="0" fontId="100" fillId="0" borderId="0" xfId="0" applyFont="1" applyBorder="1" applyAlignment="1">
      <alignment horizontal="left" wrapText="1"/>
    </xf>
    <xf numFmtId="0" fontId="39" fillId="0" borderId="0" xfId="0" applyFont="1" applyBorder="1" applyAlignment="1">
      <alignment horizontal="center"/>
    </xf>
    <xf numFmtId="2" fontId="32" fillId="0" borderId="0" xfId="0" applyNumberFormat="1" applyFont="1" applyBorder="1" applyAlignment="1">
      <alignment horizontal="center"/>
    </xf>
    <xf numFmtId="0" fontId="32" fillId="0" borderId="91" xfId="0" applyFont="1" applyBorder="1" applyAlignment="1">
      <alignment horizontal="left"/>
    </xf>
    <xf numFmtId="2" fontId="32" fillId="0" borderId="91" xfId="0" applyNumberFormat="1" applyFont="1" applyBorder="1" applyAlignment="1">
      <alignment horizontal="center"/>
    </xf>
    <xf numFmtId="0" fontId="32" fillId="0" borderId="0" xfId="0" applyFont="1" applyFill="1" applyBorder="1" applyAlignment="1">
      <alignment horizontal="left"/>
    </xf>
    <xf numFmtId="0" fontId="72" fillId="5" borderId="0" xfId="0" applyFont="1" applyFill="1" applyBorder="1" applyAlignment="1"/>
    <xf numFmtId="0" fontId="72" fillId="5" borderId="30" xfId="0" applyFont="1" applyFill="1" applyBorder="1" applyAlignment="1"/>
    <xf numFmtId="0" fontId="72" fillId="0" borderId="0" xfId="0" applyFont="1" applyFill="1" applyBorder="1" applyAlignment="1"/>
    <xf numFmtId="0" fontId="72" fillId="0" borderId="30" xfId="0" applyFont="1" applyFill="1" applyBorder="1" applyAlignment="1">
      <alignment horizontal="center"/>
    </xf>
    <xf numFmtId="0" fontId="72" fillId="0" borderId="0" xfId="0" applyFont="1" applyFill="1" applyBorder="1" applyAlignment="1">
      <alignment horizontal="center"/>
    </xf>
    <xf numFmtId="0" fontId="72" fillId="0" borderId="23" xfId="0" applyFont="1" applyFill="1" applyBorder="1" applyAlignment="1">
      <alignment horizontal="center"/>
    </xf>
    <xf numFmtId="0" fontId="47" fillId="0" borderId="106" xfId="0" applyFont="1" applyBorder="1" applyAlignment="1">
      <alignment horizontal="center"/>
    </xf>
    <xf numFmtId="0" fontId="47" fillId="0" borderId="56" xfId="0" applyFont="1" applyBorder="1" applyAlignment="1">
      <alignment horizontal="center"/>
    </xf>
    <xf numFmtId="0" fontId="47" fillId="0" borderId="105" xfId="0" applyFont="1" applyBorder="1" applyAlignment="1">
      <alignment horizontal="center"/>
    </xf>
    <xf numFmtId="3" fontId="35" fillId="22" borderId="14" xfId="0" applyNumberFormat="1" applyFont="1" applyFill="1" applyBorder="1" applyAlignment="1" applyProtection="1">
      <alignment horizontal="center" vertical="center"/>
      <protection locked="0"/>
    </xf>
    <xf numFmtId="0" fontId="40" fillId="5" borderId="94" xfId="0" applyFont="1" applyFill="1" applyBorder="1" applyAlignment="1">
      <alignment horizontal="center"/>
    </xf>
    <xf numFmtId="0" fontId="40" fillId="22" borderId="18" xfId="0" applyFont="1" applyFill="1" applyBorder="1" applyAlignment="1" applyProtection="1">
      <alignment horizontal="center"/>
      <protection locked="0"/>
    </xf>
    <xf numFmtId="0" fontId="35" fillId="22" borderId="14" xfId="0" applyFont="1" applyFill="1" applyBorder="1" applyAlignment="1" applyProtection="1">
      <alignment horizontal="center" vertical="center"/>
      <protection locked="0"/>
    </xf>
    <xf numFmtId="0" fontId="40" fillId="22" borderId="18" xfId="0" applyFont="1" applyFill="1" applyBorder="1" applyAlignment="1" applyProtection="1">
      <alignment horizontal="center" vertical="center"/>
      <protection locked="0"/>
    </xf>
    <xf numFmtId="4" fontId="35" fillId="22" borderId="14" xfId="0" applyNumberFormat="1" applyFont="1" applyFill="1" applyBorder="1" applyAlignment="1" applyProtection="1">
      <alignment horizontal="center" vertical="center"/>
      <protection locked="0"/>
    </xf>
    <xf numFmtId="0" fontId="40" fillId="0" borderId="94" xfId="0" applyFont="1" applyBorder="1" applyAlignment="1">
      <alignment horizontal="center"/>
    </xf>
    <xf numFmtId="0" fontId="40" fillId="0" borderId="14" xfId="0" applyFont="1" applyBorder="1" applyAlignment="1">
      <alignment horizontal="center"/>
    </xf>
    <xf numFmtId="3" fontId="42" fillId="22" borderId="18" xfId="0" applyNumberFormat="1" applyFont="1" applyFill="1" applyBorder="1" applyAlignment="1" applyProtection="1">
      <alignment horizontal="center"/>
      <protection locked="0"/>
    </xf>
    <xf numFmtId="0" fontId="40" fillId="5" borderId="9" xfId="0" applyFont="1" applyFill="1" applyBorder="1" applyAlignment="1">
      <alignment horizontal="right"/>
    </xf>
    <xf numFmtId="4" fontId="35" fillId="22" borderId="9" xfId="0" applyNumberFormat="1" applyFont="1" applyFill="1" applyBorder="1" applyAlignment="1" applyProtection="1">
      <alignment horizontal="center" vertical="center"/>
      <protection locked="0"/>
    </xf>
    <xf numFmtId="0" fontId="40" fillId="5" borderId="9" xfId="0" applyFont="1" applyFill="1" applyBorder="1" applyAlignment="1">
      <alignment horizontal="center"/>
    </xf>
    <xf numFmtId="0" fontId="45" fillId="0" borderId="10" xfId="0" applyFont="1" applyFill="1" applyBorder="1" applyAlignment="1" applyProtection="1">
      <alignment horizontal="center"/>
      <protection locked="0"/>
    </xf>
    <xf numFmtId="0" fontId="50" fillId="5" borderId="106" xfId="0" applyFont="1" applyFill="1" applyBorder="1" applyAlignment="1"/>
    <xf numFmtId="0" fontId="50" fillId="5" borderId="56" xfId="0" applyFont="1" applyFill="1" applyBorder="1" applyAlignment="1"/>
    <xf numFmtId="0" fontId="50" fillId="5" borderId="105" xfId="0" applyFont="1" applyFill="1" applyBorder="1" applyAlignment="1"/>
    <xf numFmtId="0" fontId="56" fillId="5" borderId="0" xfId="0" applyFont="1" applyFill="1"/>
    <xf numFmtId="0" fontId="49" fillId="5" borderId="30" xfId="0" applyFont="1" applyFill="1" applyBorder="1" applyAlignment="1"/>
    <xf numFmtId="0" fontId="49" fillId="5" borderId="0" xfId="0" applyFont="1" applyFill="1" applyBorder="1" applyAlignment="1"/>
    <xf numFmtId="0" fontId="49" fillId="5" borderId="0" xfId="0" applyFont="1" applyFill="1" applyBorder="1" applyAlignment="1">
      <alignment horizontal="center"/>
    </xf>
    <xf numFmtId="0" fontId="56" fillId="5" borderId="0" xfId="0" applyFont="1" applyFill="1" applyBorder="1"/>
    <xf numFmtId="0" fontId="49" fillId="5" borderId="23" xfId="0" applyFont="1" applyFill="1" applyBorder="1" applyAlignment="1"/>
    <xf numFmtId="0" fontId="49" fillId="19" borderId="3" xfId="0" applyFont="1" applyFill="1" applyBorder="1" applyAlignment="1">
      <alignment horizontal="left"/>
    </xf>
    <xf numFmtId="0" fontId="49" fillId="19" borderId="4" xfId="0" applyFont="1" applyFill="1" applyBorder="1" applyAlignment="1">
      <alignment horizontal="left"/>
    </xf>
    <xf numFmtId="3" fontId="49" fillId="19" borderId="4" xfId="2" applyNumberFormat="1" applyFont="1" applyFill="1" applyBorder="1"/>
    <xf numFmtId="0" fontId="49" fillId="19" borderId="8" xfId="0" applyFont="1" applyFill="1" applyBorder="1" applyAlignment="1">
      <alignment horizontal="left"/>
    </xf>
    <xf numFmtId="0" fontId="49" fillId="5" borderId="6" xfId="0" applyFont="1" applyFill="1" applyBorder="1" applyAlignment="1"/>
    <xf numFmtId="0" fontId="56" fillId="5" borderId="30" xfId="0" applyFont="1" applyFill="1" applyBorder="1"/>
    <xf numFmtId="0" fontId="56" fillId="5" borderId="4" xfId="0" applyFont="1" applyFill="1" applyBorder="1"/>
    <xf numFmtId="0" fontId="56" fillId="5" borderId="23" xfId="0" applyFont="1" applyFill="1" applyBorder="1"/>
    <xf numFmtId="0" fontId="56" fillId="5" borderId="106" xfId="0" applyFont="1" applyFill="1" applyBorder="1"/>
    <xf numFmtId="0" fontId="56" fillId="5" borderId="56" xfId="0" applyFont="1" applyFill="1" applyBorder="1"/>
    <xf numFmtId="0" fontId="49" fillId="0" borderId="56" xfId="0" applyFont="1" applyBorder="1"/>
    <xf numFmtId="0" fontId="56" fillId="5" borderId="105" xfId="0" applyFont="1" applyFill="1" applyBorder="1"/>
    <xf numFmtId="0" fontId="91" fillId="5" borderId="30" xfId="0" applyFont="1" applyFill="1" applyBorder="1"/>
    <xf numFmtId="0" fontId="91" fillId="5" borderId="0" xfId="0" applyFont="1" applyFill="1" applyBorder="1"/>
    <xf numFmtId="0" fontId="91" fillId="5" borderId="0" xfId="0" applyFont="1" applyFill="1"/>
    <xf numFmtId="0" fontId="91" fillId="5" borderId="23" xfId="0" applyFont="1" applyFill="1" applyBorder="1"/>
    <xf numFmtId="0" fontId="53" fillId="18" borderId="11" xfId="0" applyFont="1" applyFill="1" applyBorder="1" applyAlignment="1">
      <alignment horizontal="center" vertical="center"/>
    </xf>
    <xf numFmtId="4" fontId="39" fillId="22" borderId="11" xfId="0" applyNumberFormat="1" applyFont="1" applyFill="1" applyBorder="1" applyAlignment="1" applyProtection="1">
      <alignment horizontal="center"/>
      <protection locked="0"/>
    </xf>
    <xf numFmtId="3" fontId="39" fillId="22" borderId="11" xfId="0" applyNumberFormat="1" applyFont="1" applyFill="1" applyBorder="1" applyAlignment="1" applyProtection="1">
      <alignment horizontal="center" vertical="center"/>
      <protection locked="0"/>
    </xf>
    <xf numFmtId="182" fontId="39" fillId="22" borderId="11" xfId="0" applyNumberFormat="1" applyFont="1" applyFill="1" applyBorder="1" applyAlignment="1" applyProtection="1">
      <alignment horizontal="center" vertical="center"/>
      <protection locked="0"/>
    </xf>
    <xf numFmtId="4" fontId="39" fillId="22" borderId="11" xfId="0" applyNumberFormat="1" applyFont="1" applyFill="1" applyBorder="1" applyAlignment="1" applyProtection="1">
      <alignment horizontal="center" vertical="center"/>
      <protection locked="0"/>
    </xf>
    <xf numFmtId="0" fontId="39" fillId="22" borderId="11" xfId="0" applyFont="1" applyFill="1" applyBorder="1" applyProtection="1">
      <protection locked="0"/>
    </xf>
    <xf numFmtId="4" fontId="32" fillId="22" borderId="11" xfId="0" applyNumberFormat="1" applyFont="1" applyFill="1" applyBorder="1" applyAlignment="1" applyProtection="1">
      <alignment horizontal="center" vertical="center"/>
      <protection locked="0"/>
    </xf>
    <xf numFmtId="0" fontId="32" fillId="22" borderId="11" xfId="0" applyFont="1" applyFill="1" applyBorder="1" applyProtection="1">
      <protection locked="0"/>
    </xf>
    <xf numFmtId="4" fontId="32" fillId="22" borderId="11" xfId="0" applyNumberFormat="1" applyFont="1" applyFill="1" applyBorder="1" applyAlignment="1" applyProtection="1">
      <alignment horizontal="center"/>
      <protection locked="0"/>
    </xf>
    <xf numFmtId="4" fontId="49" fillId="19" borderId="15" xfId="3" applyNumberFormat="1" applyFont="1" applyFill="1" applyBorder="1" applyAlignment="1">
      <alignment horizontal="center"/>
    </xf>
    <xf numFmtId="0" fontId="53" fillId="19" borderId="6" xfId="0" applyFont="1" applyFill="1" applyBorder="1"/>
    <xf numFmtId="185" fontId="53" fillId="19" borderId="0" xfId="135" applyNumberFormat="1" applyFont="1" applyFill="1" applyBorder="1" applyAlignment="1">
      <alignment horizontal="right"/>
    </xf>
    <xf numFmtId="0" fontId="117" fillId="19" borderId="6" xfId="0" applyFont="1" applyFill="1" applyBorder="1"/>
    <xf numFmtId="0" fontId="53" fillId="19" borderId="7" xfId="0" applyFont="1" applyFill="1" applyBorder="1" applyAlignment="1"/>
    <xf numFmtId="0" fontId="34" fillId="19" borderId="6" xfId="0" applyFont="1" applyFill="1" applyBorder="1"/>
    <xf numFmtId="0" fontId="53" fillId="19" borderId="7" xfId="2" applyFont="1" applyFill="1" applyBorder="1"/>
    <xf numFmtId="0" fontId="53" fillId="19" borderId="8" xfId="0" applyFont="1" applyFill="1" applyBorder="1"/>
    <xf numFmtId="185" fontId="53" fillId="19" borderId="9" xfId="135" applyNumberFormat="1" applyFont="1" applyFill="1" applyBorder="1" applyAlignment="1">
      <alignment horizontal="right"/>
    </xf>
    <xf numFmtId="185" fontId="53" fillId="19" borderId="10" xfId="3" applyNumberFormat="1" applyFont="1" applyFill="1" applyBorder="1" applyAlignment="1"/>
    <xf numFmtId="0" fontId="53" fillId="19" borderId="6" xfId="0" applyFont="1" applyFill="1" applyBorder="1" applyAlignment="1"/>
    <xf numFmtId="0" fontId="53" fillId="19" borderId="0" xfId="0" applyFont="1" applyFill="1" applyBorder="1" applyAlignment="1">
      <alignment horizontal="right"/>
    </xf>
    <xf numFmtId="4" fontId="53" fillId="19" borderId="0" xfId="2" applyNumberFormat="1" applyFont="1" applyFill="1" applyBorder="1" applyAlignment="1">
      <alignment horizontal="right"/>
    </xf>
    <xf numFmtId="43" fontId="53" fillId="19" borderId="0" xfId="135" applyFont="1" applyFill="1" applyBorder="1" applyAlignment="1">
      <alignment horizontal="right"/>
    </xf>
    <xf numFmtId="0" fontId="53" fillId="19" borderId="7" xfId="2" applyFont="1" applyFill="1" applyBorder="1" applyAlignment="1"/>
    <xf numFmtId="4" fontId="53" fillId="19" borderId="0" xfId="2" applyNumberFormat="1" applyFont="1" applyFill="1" applyBorder="1" applyAlignment="1"/>
    <xf numFmtId="4" fontId="53" fillId="19" borderId="7" xfId="2" applyNumberFormat="1" applyFont="1" applyFill="1" applyBorder="1" applyAlignment="1"/>
    <xf numFmtId="10" fontId="34" fillId="19" borderId="0" xfId="136" applyNumberFormat="1" applyFont="1" applyFill="1" applyBorder="1" applyAlignment="1"/>
    <xf numFmtId="0" fontId="34" fillId="19" borderId="7" xfId="0" applyFont="1" applyFill="1" applyBorder="1"/>
    <xf numFmtId="0" fontId="34" fillId="19" borderId="0" xfId="0" applyFont="1" applyFill="1" applyBorder="1"/>
    <xf numFmtId="0" fontId="53" fillId="19" borderId="8" xfId="0" applyFont="1" applyFill="1" applyBorder="1" applyAlignment="1"/>
    <xf numFmtId="3" fontId="53" fillId="19" borderId="9" xfId="0" applyNumberFormat="1" applyFont="1" applyFill="1" applyBorder="1" applyAlignment="1">
      <alignment horizontal="right"/>
    </xf>
    <xf numFmtId="0" fontId="53" fillId="19" borderId="10" xfId="0" applyFont="1" applyFill="1" applyBorder="1" applyAlignment="1"/>
    <xf numFmtId="185" fontId="53" fillId="19" borderId="9" xfId="3" applyNumberFormat="1" applyFont="1" applyFill="1" applyBorder="1" applyAlignment="1">
      <alignment horizontal="right"/>
    </xf>
    <xf numFmtId="44" fontId="53" fillId="19" borderId="10" xfId="3" applyFont="1" applyFill="1" applyBorder="1" applyAlignment="1"/>
    <xf numFmtId="4" fontId="53" fillId="19" borderId="9" xfId="2" applyNumberFormat="1" applyFont="1" applyFill="1" applyBorder="1" applyAlignment="1"/>
    <xf numFmtId="4" fontId="53" fillId="19" borderId="10" xfId="2" applyNumberFormat="1" applyFont="1" applyFill="1" applyBorder="1" applyAlignment="1"/>
    <xf numFmtId="44" fontId="34" fillId="19" borderId="9" xfId="0" applyNumberFormat="1" applyFont="1" applyFill="1" applyBorder="1" applyAlignment="1"/>
    <xf numFmtId="0" fontId="34" fillId="19" borderId="9" xfId="0" applyFont="1" applyFill="1" applyBorder="1"/>
    <xf numFmtId="189" fontId="53" fillId="19" borderId="9" xfId="3" applyNumberFormat="1" applyFont="1" applyFill="1" applyBorder="1" applyAlignment="1">
      <alignment horizontal="right"/>
    </xf>
    <xf numFmtId="0" fontId="0" fillId="0" borderId="0" xfId="0" applyAlignment="1">
      <alignment vertical="center"/>
    </xf>
    <xf numFmtId="165" fontId="32" fillId="0" borderId="0" xfId="0" applyNumberFormat="1" applyFont="1" applyFill="1"/>
    <xf numFmtId="0" fontId="45" fillId="0" borderId="0" xfId="88" applyFont="1"/>
    <xf numFmtId="176" fontId="32" fillId="0" borderId="0" xfId="108" applyNumberFormat="1" applyFont="1" applyFill="1" applyBorder="1" applyAlignment="1">
      <alignment horizontal="center" wrapText="1"/>
    </xf>
    <xf numFmtId="0" fontId="56" fillId="0" borderId="0" xfId="88" applyFont="1"/>
    <xf numFmtId="176" fontId="32" fillId="0" borderId="11" xfId="108" applyNumberFormat="1" applyFont="1" applyBorder="1" applyAlignment="1">
      <alignment horizontal="center"/>
    </xf>
    <xf numFmtId="164" fontId="32" fillId="0" borderId="11" xfId="108" applyNumberFormat="1" applyFont="1" applyBorder="1" applyAlignment="1">
      <alignment horizontal="center"/>
    </xf>
    <xf numFmtId="0" fontId="40" fillId="0" borderId="13" xfId="88" applyFont="1" applyFill="1" applyBorder="1" applyAlignment="1">
      <alignment wrapText="1"/>
    </xf>
    <xf numFmtId="0" fontId="40" fillId="0" borderId="13" xfId="88" applyFont="1" applyBorder="1" applyAlignment="1">
      <alignment wrapText="1"/>
    </xf>
    <xf numFmtId="10" fontId="40" fillId="0" borderId="13" xfId="88" applyNumberFormat="1" applyFont="1" applyBorder="1" applyAlignment="1">
      <alignment wrapText="1"/>
    </xf>
    <xf numFmtId="0" fontId="40" fillId="0" borderId="38" xfId="88" applyFont="1" applyBorder="1" applyAlignment="1">
      <alignment wrapText="1"/>
    </xf>
    <xf numFmtId="0" fontId="89" fillId="0" borderId="13" xfId="88" applyFont="1" applyBorder="1" applyAlignment="1">
      <alignment horizontal="left" wrapText="1"/>
    </xf>
    <xf numFmtId="0" fontId="40" fillId="0" borderId="13" xfId="88" applyFont="1" applyBorder="1" applyAlignment="1">
      <alignment horizontal="left" wrapText="1"/>
    </xf>
    <xf numFmtId="0" fontId="40" fillId="0" borderId="13" xfId="88" applyFont="1" applyFill="1" applyBorder="1" applyAlignment="1">
      <alignment horizontal="left" wrapText="1"/>
    </xf>
    <xf numFmtId="0" fontId="40" fillId="21" borderId="38" xfId="88" applyFont="1" applyFill="1" applyBorder="1" applyAlignment="1">
      <alignment horizontal="left" wrapText="1"/>
    </xf>
    <xf numFmtId="0" fontId="40" fillId="0" borderId="11" xfId="88" applyFont="1" applyFill="1" applyBorder="1" applyAlignment="1">
      <alignment horizontal="center"/>
    </xf>
    <xf numFmtId="0" fontId="40" fillId="0" borderId="0" xfId="88" applyFont="1"/>
    <xf numFmtId="0" fontId="32" fillId="0" borderId="11" xfId="0" applyFont="1" applyFill="1" applyBorder="1"/>
    <xf numFmtId="165" fontId="56" fillId="0" borderId="0" xfId="0" applyNumberFormat="1" applyFont="1" applyFill="1" applyBorder="1" applyAlignment="1">
      <alignment horizontal="center"/>
    </xf>
    <xf numFmtId="0" fontId="27" fillId="0" borderId="6" xfId="138" applyFill="1" applyBorder="1"/>
    <xf numFmtId="0" fontId="32" fillId="5" borderId="0" xfId="0" applyFont="1" applyFill="1" applyBorder="1"/>
    <xf numFmtId="0" fontId="53" fillId="19" borderId="6" xfId="0" applyFont="1" applyFill="1" applyBorder="1" applyAlignment="1">
      <alignment horizontal="left"/>
    </xf>
    <xf numFmtId="0" fontId="53" fillId="19" borderId="0" xfId="0" applyFont="1" applyFill="1" applyBorder="1" applyAlignment="1">
      <alignment horizontal="left"/>
    </xf>
    <xf numFmtId="0" fontId="77" fillId="25" borderId="74" xfId="0" applyFont="1" applyFill="1" applyBorder="1" applyAlignment="1">
      <alignment horizontal="left"/>
    </xf>
    <xf numFmtId="0" fontId="77" fillId="25" borderId="97" xfId="0" applyFont="1" applyFill="1" applyBorder="1" applyAlignment="1">
      <alignment horizontal="center"/>
    </xf>
    <xf numFmtId="0" fontId="77" fillId="25" borderId="97" xfId="0" applyFont="1" applyFill="1" applyBorder="1" applyAlignment="1">
      <alignment horizontal="center" vertical="center"/>
    </xf>
    <xf numFmtId="0" fontId="77" fillId="25" borderId="81" xfId="0" applyFont="1" applyFill="1" applyBorder="1" applyAlignment="1">
      <alignment horizontal="center" vertical="center"/>
    </xf>
    <xf numFmtId="0" fontId="73" fillId="26" borderId="19" xfId="0" applyFont="1" applyFill="1" applyBorder="1" applyAlignment="1">
      <alignment horizontal="left" vertical="center"/>
    </xf>
    <xf numFmtId="0" fontId="73" fillId="26" borderId="27" xfId="0" applyFont="1" applyFill="1" applyBorder="1" applyAlignment="1">
      <alignment horizontal="left" vertical="center"/>
    </xf>
    <xf numFmtId="0" fontId="73" fillId="26" borderId="27" xfId="0" applyFont="1" applyFill="1" applyBorder="1" applyAlignment="1">
      <alignment horizontal="center" vertical="center"/>
    </xf>
    <xf numFmtId="186" fontId="73" fillId="26" borderId="27" xfId="0" applyNumberFormat="1" applyFont="1" applyFill="1" applyBorder="1" applyAlignment="1">
      <alignment horizontal="right" vertical="center"/>
    </xf>
    <xf numFmtId="0" fontId="73" fillId="26" borderId="20" xfId="0" applyFont="1" applyFill="1" applyBorder="1" applyAlignment="1">
      <alignment horizontal="center" vertical="center"/>
    </xf>
    <xf numFmtId="0" fontId="73" fillId="26" borderId="19" xfId="0" applyFont="1" applyFill="1" applyBorder="1" applyAlignment="1">
      <alignment horizontal="left"/>
    </xf>
    <xf numFmtId="0" fontId="73" fillId="26" borderId="27" xfId="0" applyFont="1" applyFill="1" applyBorder="1" applyAlignment="1">
      <alignment horizontal="left"/>
    </xf>
    <xf numFmtId="0" fontId="73" fillId="26" borderId="27" xfId="0" applyFont="1" applyFill="1" applyBorder="1" applyAlignment="1">
      <alignment horizontal="center"/>
    </xf>
    <xf numFmtId="188" fontId="73" fillId="26" borderId="27" xfId="0" applyNumberFormat="1" applyFont="1" applyFill="1" applyBorder="1" applyAlignment="1">
      <alignment horizontal="right"/>
    </xf>
    <xf numFmtId="0" fontId="73" fillId="26" borderId="20" xfId="0" applyFont="1" applyFill="1" applyBorder="1" applyAlignment="1">
      <alignment horizontal="left" vertical="center"/>
    </xf>
    <xf numFmtId="0" fontId="45" fillId="20" borderId="99" xfId="65" applyFont="1" applyFill="1" applyBorder="1"/>
    <xf numFmtId="0" fontId="45" fillId="27" borderId="98" xfId="66" applyFont="1" applyFill="1" applyBorder="1"/>
    <xf numFmtId="0" fontId="121" fillId="0" borderId="30" xfId="0" applyFont="1" applyBorder="1"/>
    <xf numFmtId="0" fontId="121" fillId="5" borderId="30" xfId="0" applyFont="1" applyFill="1" applyBorder="1"/>
    <xf numFmtId="0" fontId="122" fillId="0" borderId="3" xfId="0" applyFont="1" applyFill="1" applyBorder="1"/>
    <xf numFmtId="0" fontId="122" fillId="0" borderId="4" xfId="0" applyFont="1" applyFill="1" applyBorder="1"/>
    <xf numFmtId="0" fontId="122" fillId="0" borderId="5" xfId="0" applyFont="1" applyFill="1" applyBorder="1"/>
    <xf numFmtId="0" fontId="123" fillId="0" borderId="6" xfId="0" applyFont="1" applyFill="1" applyBorder="1" applyAlignment="1"/>
    <xf numFmtId="0" fontId="52" fillId="25" borderId="3" xfId="0" applyFont="1" applyFill="1" applyBorder="1"/>
    <xf numFmtId="0" fontId="52" fillId="25" borderId="6" xfId="0" applyFont="1" applyFill="1" applyBorder="1"/>
    <xf numFmtId="0" fontId="52" fillId="25" borderId="8" xfId="0" applyFont="1" applyFill="1" applyBorder="1"/>
    <xf numFmtId="0" fontId="122" fillId="0" borderId="4" xfId="0" applyFont="1" applyFill="1" applyBorder="1" applyAlignment="1">
      <alignment horizontal="center"/>
    </xf>
    <xf numFmtId="0" fontId="122" fillId="0" borderId="5" xfId="0" applyFont="1" applyFill="1" applyBorder="1" applyAlignment="1">
      <alignment horizontal="center"/>
    </xf>
    <xf numFmtId="0" fontId="77" fillId="26" borderId="11" xfId="0" applyFont="1" applyFill="1" applyBorder="1" applyAlignment="1">
      <alignment horizontal="center" vertical="center" wrapText="1"/>
    </xf>
    <xf numFmtId="0" fontId="77" fillId="26" borderId="11" xfId="0" applyFont="1" applyFill="1" applyBorder="1" applyAlignment="1">
      <alignment horizontal="center" vertical="top" wrapText="1"/>
    </xf>
    <xf numFmtId="0" fontId="126" fillId="0" borderId="0" xfId="0" applyFont="1" applyBorder="1"/>
    <xf numFmtId="0" fontId="122" fillId="0" borderId="4" xfId="0" applyFont="1" applyFill="1" applyBorder="1" applyAlignment="1">
      <alignment horizontal="center" vertical="center"/>
    </xf>
    <xf numFmtId="0" fontId="122" fillId="0" borderId="5" xfId="0" applyFont="1" applyFill="1" applyBorder="1" applyAlignment="1">
      <alignment horizontal="center" vertical="center"/>
    </xf>
    <xf numFmtId="0" fontId="122" fillId="0" borderId="3" xfId="0" applyFont="1" applyFill="1" applyBorder="1" applyAlignment="1">
      <alignment horizontal="left" vertical="center"/>
    </xf>
    <xf numFmtId="0" fontId="41" fillId="0" borderId="6" xfId="0" applyFont="1" applyBorder="1"/>
    <xf numFmtId="0" fontId="128" fillId="0" borderId="0" xfId="94" applyFont="1" applyFill="1" applyBorder="1"/>
    <xf numFmtId="0" fontId="130" fillId="0" borderId="0" xfId="94" applyFont="1" applyFill="1" applyBorder="1"/>
    <xf numFmtId="0" fontId="122" fillId="0" borderId="3" xfId="0" applyFont="1" applyBorder="1" applyAlignment="1">
      <alignment horizontal="left" vertical="center" wrapText="1"/>
    </xf>
    <xf numFmtId="0" fontId="122" fillId="0" borderId="4" xfId="0" applyFont="1" applyBorder="1" applyAlignment="1">
      <alignment horizontal="center" vertical="center" wrapText="1"/>
    </xf>
    <xf numFmtId="0" fontId="40" fillId="0" borderId="5" xfId="0" applyFont="1" applyBorder="1" applyAlignment="1">
      <alignment horizontal="center" vertical="center" wrapText="1"/>
    </xf>
    <xf numFmtId="0" fontId="123" fillId="0" borderId="6" xfId="0" applyFont="1" applyBorder="1"/>
    <xf numFmtId="0" fontId="131" fillId="0" borderId="0" xfId="0" applyFont="1" applyBorder="1" applyAlignment="1">
      <alignment horizontal="justify" vertical="center"/>
    </xf>
    <xf numFmtId="0" fontId="123" fillId="0" borderId="0" xfId="0" applyFont="1" applyBorder="1"/>
    <xf numFmtId="0" fontId="122" fillId="0" borderId="0" xfId="0" applyFont="1" applyBorder="1"/>
    <xf numFmtId="0" fontId="77" fillId="26" borderId="66" xfId="0" applyFont="1" applyFill="1" applyBorder="1" applyAlignment="1">
      <alignment horizontal="center"/>
    </xf>
    <xf numFmtId="0" fontId="109" fillId="26" borderId="66" xfId="0" applyFont="1" applyFill="1" applyBorder="1" applyAlignment="1">
      <alignment horizontal="center"/>
    </xf>
    <xf numFmtId="0" fontId="111" fillId="26" borderId="11" xfId="0" applyFont="1" applyFill="1" applyBorder="1" applyAlignment="1">
      <alignment horizontal="center" vertical="center"/>
    </xf>
    <xf numFmtId="0" fontId="111" fillId="26" borderId="11" xfId="0" applyFont="1" applyFill="1" applyBorder="1" applyAlignment="1">
      <alignment horizontal="center"/>
    </xf>
    <xf numFmtId="0" fontId="73" fillId="20" borderId="11" xfId="0" applyFont="1" applyFill="1" applyBorder="1" applyAlignment="1">
      <alignment horizontal="center" vertical="center"/>
    </xf>
    <xf numFmtId="0" fontId="111" fillId="20" borderId="64" xfId="0" applyFont="1" applyFill="1" applyBorder="1" applyAlignment="1">
      <alignment vertical="center"/>
    </xf>
    <xf numFmtId="178" fontId="73" fillId="20" borderId="58" xfId="135" applyNumberFormat="1" applyFont="1" applyFill="1" applyBorder="1" applyAlignment="1">
      <alignment horizontal="center" vertical="center"/>
    </xf>
    <xf numFmtId="0" fontId="111" fillId="20" borderId="67" xfId="0" applyFont="1" applyFill="1" applyBorder="1" applyAlignment="1">
      <alignment vertical="center"/>
    </xf>
    <xf numFmtId="178" fontId="73" fillId="20" borderId="68" xfId="135" applyNumberFormat="1" applyFont="1" applyFill="1" applyBorder="1" applyAlignment="1">
      <alignment horizontal="center" vertical="center"/>
    </xf>
    <xf numFmtId="0" fontId="73" fillId="20" borderId="11" xfId="0" applyFont="1" applyFill="1" applyBorder="1" applyAlignment="1">
      <alignment horizontal="right" vertical="center"/>
    </xf>
    <xf numFmtId="178" fontId="73" fillId="20" borderId="11" xfId="135" applyNumberFormat="1" applyFont="1" applyFill="1" applyBorder="1" applyAlignment="1">
      <alignment horizontal="center"/>
    </xf>
    <xf numFmtId="2" fontId="73" fillId="20" borderId="63" xfId="0" applyNumberFormat="1" applyFont="1" applyFill="1" applyBorder="1"/>
    <xf numFmtId="2" fontId="73" fillId="20" borderId="64" xfId="0" applyNumberFormat="1" applyFont="1" applyFill="1" applyBorder="1"/>
    <xf numFmtId="2" fontId="73" fillId="20" borderId="67" xfId="0" applyNumberFormat="1" applyFont="1" applyFill="1" applyBorder="1"/>
    <xf numFmtId="2" fontId="73" fillId="20" borderId="26" xfId="0" applyNumberFormat="1" applyFont="1" applyFill="1" applyBorder="1"/>
    <xf numFmtId="0" fontId="73" fillId="26" borderId="63" xfId="0" applyFont="1" applyFill="1" applyBorder="1" applyAlignment="1">
      <alignment horizontal="center"/>
    </xf>
    <xf numFmtId="0" fontId="73" fillId="26" borderId="12" xfId="0" applyFont="1" applyFill="1" applyBorder="1"/>
    <xf numFmtId="0" fontId="73" fillId="26" borderId="14" xfId="0" applyFont="1" applyFill="1" applyBorder="1"/>
    <xf numFmtId="0" fontId="73" fillId="26" borderId="11" xfId="0" applyFont="1" applyFill="1" applyBorder="1" applyAlignment="1">
      <alignment horizontal="center"/>
    </xf>
    <xf numFmtId="0" fontId="73" fillId="26" borderId="11" xfId="0" applyFont="1" applyFill="1" applyBorder="1" applyAlignment="1">
      <alignment horizontal="left" vertical="center"/>
    </xf>
    <xf numFmtId="0" fontId="73" fillId="26" borderId="12" xfId="0" applyFont="1" applyFill="1" applyBorder="1" applyAlignment="1">
      <alignment horizontal="center"/>
    </xf>
    <xf numFmtId="0" fontId="73" fillId="20" borderId="63" xfId="0" applyFont="1" applyFill="1" applyBorder="1" applyAlignment="1">
      <alignment horizontal="center"/>
    </xf>
    <xf numFmtId="0" fontId="73" fillId="20" borderId="58" xfId="0" applyFont="1" applyFill="1" applyBorder="1" applyAlignment="1">
      <alignment horizontal="center" vertical="center"/>
    </xf>
    <xf numFmtId="0" fontId="73" fillId="20" borderId="68" xfId="0" applyFont="1" applyFill="1" applyBorder="1" applyAlignment="1">
      <alignment horizontal="center" vertical="center"/>
    </xf>
    <xf numFmtId="0" fontId="73" fillId="20" borderId="12" xfId="0" applyFont="1" applyFill="1" applyBorder="1" applyAlignment="1">
      <alignment vertical="center"/>
    </xf>
    <xf numFmtId="0" fontId="73" fillId="20" borderId="0" xfId="0" applyFont="1" applyFill="1"/>
    <xf numFmtId="2" fontId="73" fillId="20" borderId="12" xfId="0" applyNumberFormat="1" applyFont="1" applyFill="1" applyBorder="1" applyAlignment="1">
      <alignment horizontal="center" vertical="center"/>
    </xf>
    <xf numFmtId="0" fontId="73" fillId="20" borderId="11" xfId="0" applyFont="1" applyFill="1" applyBorder="1" applyAlignment="1">
      <alignment horizontal="center"/>
    </xf>
    <xf numFmtId="0" fontId="123" fillId="0" borderId="0" xfId="0" applyFont="1" applyFill="1" applyBorder="1"/>
    <xf numFmtId="0" fontId="41" fillId="0" borderId="0" xfId="0" applyFont="1" applyFill="1" applyBorder="1"/>
    <xf numFmtId="0" fontId="41" fillId="0" borderId="0" xfId="0" applyFont="1" applyFill="1"/>
    <xf numFmtId="0" fontId="123" fillId="0" borderId="0" xfId="0" applyFont="1"/>
    <xf numFmtId="0" fontId="128" fillId="0" borderId="0" xfId="0" applyFont="1"/>
    <xf numFmtId="0" fontId="126" fillId="5" borderId="0" xfId="0" applyFont="1" applyFill="1" applyBorder="1"/>
    <xf numFmtId="0" fontId="123" fillId="5" borderId="6" xfId="0" applyFont="1" applyFill="1" applyBorder="1" applyAlignment="1"/>
    <xf numFmtId="0" fontId="52" fillId="25" borderId="4" xfId="0" applyFont="1" applyFill="1" applyBorder="1" applyAlignment="1">
      <alignment horizontal="center"/>
    </xf>
    <xf numFmtId="0" fontId="73" fillId="25" borderId="4" xfId="0" applyFont="1" applyFill="1" applyBorder="1"/>
    <xf numFmtId="0" fontId="52" fillId="25" borderId="5" xfId="0" applyFont="1" applyFill="1" applyBorder="1"/>
    <xf numFmtId="0" fontId="52" fillId="25" borderId="0" xfId="0" applyFont="1" applyFill="1" applyBorder="1"/>
    <xf numFmtId="0" fontId="73" fillId="25" borderId="0" xfId="0" applyFont="1" applyFill="1" applyBorder="1"/>
    <xf numFmtId="4" fontId="52" fillId="25" borderId="0" xfId="0" applyNumberFormat="1" applyFont="1" applyFill="1" applyBorder="1"/>
    <xf numFmtId="0" fontId="52" fillId="25" borderId="0" xfId="0" applyFont="1" applyFill="1" applyBorder="1" applyAlignment="1"/>
    <xf numFmtId="0" fontId="52" fillId="25" borderId="7" xfId="0" applyFont="1" applyFill="1" applyBorder="1" applyAlignment="1"/>
    <xf numFmtId="2" fontId="52" fillId="25" borderId="9" xfId="3" applyNumberFormat="1" applyFont="1" applyFill="1" applyBorder="1" applyAlignment="1"/>
    <xf numFmtId="44" fontId="52" fillId="25" borderId="10" xfId="3" applyFont="1" applyFill="1" applyBorder="1" applyAlignment="1"/>
    <xf numFmtId="0" fontId="123" fillId="0" borderId="0" xfId="0" applyFont="1" applyFill="1" applyBorder="1" applyAlignment="1"/>
    <xf numFmtId="0" fontId="123" fillId="0" borderId="94" xfId="0" applyFont="1" applyFill="1" applyBorder="1" applyAlignment="1"/>
    <xf numFmtId="0" fontId="123" fillId="0" borderId="14" xfId="0" applyFont="1" applyFill="1" applyBorder="1" applyAlignment="1"/>
    <xf numFmtId="0" fontId="57" fillId="0" borderId="0" xfId="0" applyFont="1"/>
    <xf numFmtId="0" fontId="32" fillId="27" borderId="0" xfId="0" applyFont="1" applyFill="1" applyAlignment="1">
      <alignment horizontal="left"/>
    </xf>
    <xf numFmtId="0" fontId="142" fillId="19" borderId="98" xfId="67" applyFont="1" applyFill="1" applyBorder="1"/>
    <xf numFmtId="0" fontId="143" fillId="0" borderId="0" xfId="0" applyFont="1"/>
    <xf numFmtId="43" fontId="34" fillId="19" borderId="9" xfId="135" applyFont="1" applyFill="1" applyBorder="1" applyAlignment="1"/>
    <xf numFmtId="0" fontId="32" fillId="0" borderId="0" xfId="0" applyFont="1" applyBorder="1" applyAlignment="1">
      <alignment wrapText="1"/>
    </xf>
    <xf numFmtId="0" fontId="32" fillId="0" borderId="0" xfId="0" applyFont="1" applyBorder="1" applyAlignment="1">
      <alignment horizontal="center"/>
    </xf>
    <xf numFmtId="0" fontId="32" fillId="5" borderId="0" xfId="0" applyFont="1" applyFill="1" applyBorder="1" applyAlignment="1">
      <alignment horizontal="left" vertical="center" wrapText="1"/>
    </xf>
    <xf numFmtId="0" fontId="32" fillId="5" borderId="0" xfId="0" applyFont="1" applyFill="1" applyBorder="1"/>
    <xf numFmtId="0" fontId="32" fillId="0" borderId="0" xfId="0" applyFont="1" applyFill="1" applyBorder="1"/>
    <xf numFmtId="0" fontId="77" fillId="0" borderId="0" xfId="0" applyFont="1" applyFill="1" applyBorder="1" applyAlignment="1">
      <alignment horizontal="center"/>
    </xf>
    <xf numFmtId="190" fontId="53" fillId="19" borderId="0" xfId="135" applyNumberFormat="1" applyFont="1" applyFill="1" applyBorder="1" applyAlignment="1"/>
    <xf numFmtId="0" fontId="123" fillId="0" borderId="6" xfId="0" applyFont="1" applyFill="1" applyBorder="1" applyAlignment="1"/>
    <xf numFmtId="0" fontId="46" fillId="0" borderId="30" xfId="0" applyFont="1" applyBorder="1" applyAlignment="1">
      <alignment horizontal="center"/>
    </xf>
    <xf numFmtId="0" fontId="46" fillId="0" borderId="0" xfId="0" applyFont="1" applyBorder="1" applyAlignment="1">
      <alignment horizontal="center"/>
    </xf>
    <xf numFmtId="0" fontId="46" fillId="0" borderId="23" xfId="0" applyFont="1" applyBorder="1" applyAlignment="1">
      <alignment horizontal="center"/>
    </xf>
    <xf numFmtId="0" fontId="39" fillId="0" borderId="0" xfId="0" applyFont="1" applyBorder="1" applyAlignment="1">
      <alignment vertical="center"/>
    </xf>
    <xf numFmtId="0" fontId="53" fillId="0" borderId="0" xfId="0" applyFont="1" applyFill="1" applyBorder="1" applyAlignment="1">
      <alignment horizontal="right"/>
    </xf>
    <xf numFmtId="4" fontId="49" fillId="19" borderId="4" xfId="2" applyNumberFormat="1" applyFont="1" applyFill="1" applyBorder="1" applyAlignment="1">
      <alignment horizontal="right"/>
    </xf>
    <xf numFmtId="0" fontId="32" fillId="0" borderId="0" xfId="0" applyFont="1" applyFill="1" applyBorder="1"/>
    <xf numFmtId="0" fontId="32" fillId="5" borderId="0" xfId="0" applyFont="1" applyFill="1" applyBorder="1"/>
    <xf numFmtId="0" fontId="122" fillId="0" borderId="4" xfId="0" applyFont="1" applyFill="1" applyBorder="1" applyAlignment="1">
      <alignment horizontal="center"/>
    </xf>
    <xf numFmtId="0" fontId="122" fillId="0" borderId="5" xfId="0" applyFont="1" applyFill="1" applyBorder="1" applyAlignment="1">
      <alignment horizontal="center"/>
    </xf>
    <xf numFmtId="0" fontId="40" fillId="5" borderId="14" xfId="0" applyFont="1" applyFill="1" applyBorder="1" applyAlignment="1">
      <alignment horizontal="center"/>
    </xf>
    <xf numFmtId="0" fontId="52" fillId="0" borderId="0" xfId="0" applyFont="1" applyFill="1" applyBorder="1" applyAlignment="1">
      <alignment horizontal="center"/>
    </xf>
    <xf numFmtId="0" fontId="32" fillId="5" borderId="0" xfId="0" applyFont="1" applyFill="1" applyBorder="1" applyAlignment="1">
      <alignment wrapText="1"/>
    </xf>
    <xf numFmtId="0" fontId="53" fillId="0" borderId="25" xfId="0" applyFont="1" applyFill="1" applyBorder="1" applyAlignment="1"/>
    <xf numFmtId="0" fontId="77" fillId="25" borderId="39" xfId="0" applyFont="1" applyFill="1" applyBorder="1" applyAlignment="1">
      <alignment horizontal="center"/>
    </xf>
    <xf numFmtId="0" fontId="49" fillId="5" borderId="0" xfId="0" applyFont="1" applyFill="1" applyBorder="1"/>
    <xf numFmtId="0" fontId="52" fillId="0" borderId="0" xfId="0" applyFont="1" applyFill="1" applyAlignment="1">
      <alignment horizontal="center" vertical="top"/>
    </xf>
    <xf numFmtId="0" fontId="32" fillId="19" borderId="0" xfId="0" applyFont="1" applyFill="1" applyBorder="1"/>
    <xf numFmtId="0" fontId="77" fillId="0" borderId="0" xfId="0" applyFont="1" applyFill="1" applyBorder="1" applyAlignment="1">
      <alignment horizontal="center" vertical="center" wrapText="1"/>
    </xf>
    <xf numFmtId="0" fontId="73" fillId="0" borderId="0" xfId="0" applyFont="1" applyFill="1" applyBorder="1" applyAlignment="1">
      <alignment horizontal="center" vertical="center" wrapText="1"/>
    </xf>
    <xf numFmtId="0" fontId="63" fillId="0" borderId="0" xfId="0" applyFont="1" applyBorder="1" applyAlignment="1"/>
    <xf numFmtId="0" fontId="32" fillId="0" borderId="0" xfId="0" applyFont="1" applyBorder="1" applyAlignment="1">
      <alignment horizontal="center" vertical="top" wrapText="1"/>
    </xf>
    <xf numFmtId="0" fontId="32" fillId="0" borderId="0" xfId="0" applyFont="1" applyFill="1" applyAlignment="1">
      <alignment horizontal="center"/>
    </xf>
    <xf numFmtId="0" fontId="32" fillId="5" borderId="0" xfId="0" applyFont="1" applyFill="1" applyBorder="1" applyAlignment="1">
      <alignment horizontal="center" vertical="center" wrapText="1"/>
    </xf>
    <xf numFmtId="3" fontId="35" fillId="22" borderId="11" xfId="0" applyNumberFormat="1" applyFont="1" applyFill="1" applyBorder="1" applyAlignment="1">
      <alignment horizontal="center"/>
    </xf>
    <xf numFmtId="3" fontId="35" fillId="22" borderId="39" xfId="0" applyNumberFormat="1" applyFont="1" applyFill="1" applyBorder="1" applyAlignment="1">
      <alignment horizontal="center"/>
    </xf>
    <xf numFmtId="3" fontId="35" fillId="22" borderId="13" xfId="0" applyNumberFormat="1" applyFont="1" applyFill="1" applyBorder="1" applyAlignment="1">
      <alignment horizontal="center"/>
    </xf>
    <xf numFmtId="3" fontId="35" fillId="22" borderId="38" xfId="0" applyNumberFormat="1" applyFont="1" applyFill="1" applyBorder="1" applyAlignment="1">
      <alignment horizontal="center"/>
    </xf>
    <xf numFmtId="0" fontId="32" fillId="0" borderId="0" xfId="0" applyFont="1" applyFill="1" applyBorder="1"/>
    <xf numFmtId="4" fontId="52" fillId="25" borderId="9" xfId="3" applyNumberFormat="1" applyFont="1" applyFill="1" applyBorder="1" applyAlignment="1">
      <alignment horizontal="right"/>
    </xf>
    <xf numFmtId="0" fontId="73" fillId="0" borderId="30" xfId="0" applyFont="1" applyFill="1" applyBorder="1" applyAlignment="1"/>
    <xf numFmtId="0" fontId="53" fillId="0" borderId="0" xfId="0" applyFont="1" applyFill="1" applyBorder="1" applyAlignment="1">
      <alignment horizontal="center"/>
    </xf>
    <xf numFmtId="0" fontId="53" fillId="0" borderId="23" xfId="0" applyFont="1" applyFill="1" applyBorder="1" applyAlignment="1">
      <alignment horizontal="center"/>
    </xf>
    <xf numFmtId="4" fontId="40" fillId="22" borderId="103" xfId="0" applyNumberFormat="1" applyFont="1" applyFill="1" applyBorder="1" applyAlignment="1">
      <alignment horizontal="center" wrapText="1"/>
    </xf>
    <xf numFmtId="0" fontId="40" fillId="0" borderId="103" xfId="0" applyFont="1" applyFill="1" applyBorder="1" applyAlignment="1">
      <alignment horizontal="center"/>
    </xf>
    <xf numFmtId="0" fontId="27" fillId="0" borderId="0" xfId="138" applyBorder="1" applyAlignment="1">
      <alignment wrapText="1"/>
    </xf>
    <xf numFmtId="0" fontId="32" fillId="5" borderId="0" xfId="0" applyFont="1" applyFill="1" applyBorder="1" applyAlignment="1">
      <alignment vertical="center"/>
    </xf>
    <xf numFmtId="0" fontId="32" fillId="0" borderId="0" xfId="0" applyFont="1" applyAlignment="1"/>
    <xf numFmtId="0" fontId="40" fillId="0" borderId="0" xfId="0" applyFont="1" applyAlignment="1"/>
    <xf numFmtId="0" fontId="73" fillId="0" borderId="0" xfId="0" applyFont="1" applyAlignment="1"/>
    <xf numFmtId="0" fontId="53" fillId="19" borderId="3" xfId="0" applyFont="1" applyFill="1" applyBorder="1"/>
    <xf numFmtId="185" fontId="53" fillId="19" borderId="4" xfId="135" applyNumberFormat="1" applyFont="1" applyFill="1" applyBorder="1" applyAlignment="1">
      <alignment horizontal="right"/>
    </xf>
    <xf numFmtId="0" fontId="53" fillId="19" borderId="5" xfId="0" applyFont="1" applyFill="1" applyBorder="1" applyAlignment="1"/>
    <xf numFmtId="0" fontId="53" fillId="19" borderId="7" xfId="2" applyFont="1" applyFill="1" applyBorder="1" applyAlignment="1">
      <alignment wrapText="1"/>
    </xf>
    <xf numFmtId="43" fontId="77" fillId="25" borderId="0" xfId="135" applyFont="1" applyFill="1" applyBorder="1"/>
    <xf numFmtId="2" fontId="49" fillId="19" borderId="4" xfId="136" applyNumberFormat="1" applyFont="1" applyFill="1" applyBorder="1" applyAlignment="1">
      <alignment horizontal="right"/>
    </xf>
    <xf numFmtId="0" fontId="52" fillId="25" borderId="5" xfId="2" applyFont="1" applyFill="1" applyBorder="1"/>
    <xf numFmtId="4" fontId="52" fillId="25" borderId="10" xfId="3" applyNumberFormat="1" applyFont="1" applyFill="1" applyBorder="1" applyAlignment="1"/>
    <xf numFmtId="0" fontId="52" fillId="25" borderId="11" xfId="0" applyFont="1" applyFill="1" applyBorder="1" applyAlignment="1">
      <alignment horizontal="center"/>
    </xf>
    <xf numFmtId="185" fontId="49" fillId="19" borderId="7" xfId="3" applyNumberFormat="1" applyFont="1" applyFill="1" applyBorder="1" applyAlignment="1"/>
    <xf numFmtId="0" fontId="52" fillId="25" borderId="3" xfId="0" applyFont="1" applyFill="1" applyBorder="1" applyAlignment="1">
      <alignment horizontal="left" vertical="center"/>
    </xf>
    <xf numFmtId="43" fontId="52" fillId="25" borderId="4" xfId="135" applyFont="1" applyFill="1" applyBorder="1" applyAlignment="1">
      <alignment horizontal="right" vertical="center"/>
    </xf>
    <xf numFmtId="0" fontId="52" fillId="25" borderId="5" xfId="0" applyFont="1" applyFill="1" applyBorder="1" applyAlignment="1">
      <alignment vertical="center" wrapText="1"/>
    </xf>
    <xf numFmtId="0" fontId="52" fillId="25" borderId="8" xfId="0" applyFont="1" applyFill="1" applyBorder="1" applyAlignment="1">
      <alignment vertical="center"/>
    </xf>
    <xf numFmtId="43" fontId="52" fillId="25" borderId="9" xfId="135" applyNumberFormat="1" applyFont="1" applyFill="1" applyBorder="1" applyAlignment="1">
      <alignment horizontal="right" vertical="center"/>
    </xf>
    <xf numFmtId="182" fontId="52" fillId="25" borderId="10" xfId="2" applyNumberFormat="1" applyFont="1" applyFill="1" applyBorder="1" applyAlignment="1">
      <alignment vertical="center"/>
    </xf>
    <xf numFmtId="0" fontId="77" fillId="25" borderId="14" xfId="0" applyFont="1" applyFill="1" applyBorder="1" applyAlignment="1">
      <alignment horizontal="center"/>
    </xf>
    <xf numFmtId="0" fontId="52" fillId="28" borderId="3" xfId="0" applyFont="1" applyFill="1" applyBorder="1" applyAlignment="1">
      <alignment vertical="center"/>
    </xf>
    <xf numFmtId="185" fontId="52" fillId="28" borderId="4" xfId="135" applyNumberFormat="1" applyFont="1" applyFill="1" applyBorder="1" applyAlignment="1">
      <alignment horizontal="right" vertical="center"/>
    </xf>
    <xf numFmtId="0" fontId="52" fillId="28" borderId="5" xfId="2" applyFont="1" applyFill="1" applyBorder="1" applyAlignment="1">
      <alignment vertical="center"/>
    </xf>
    <xf numFmtId="0" fontId="52" fillId="28" borderId="8" xfId="0" applyFont="1" applyFill="1" applyBorder="1"/>
    <xf numFmtId="43" fontId="52" fillId="28" borderId="9" xfId="135" applyNumberFormat="1" applyFont="1" applyFill="1" applyBorder="1" applyAlignment="1">
      <alignment horizontal="right" vertical="center"/>
    </xf>
    <xf numFmtId="182" fontId="52" fillId="28" borderId="10" xfId="0" applyNumberFormat="1" applyFont="1" applyFill="1" applyBorder="1" applyAlignment="1"/>
    <xf numFmtId="0" fontId="77" fillId="28" borderId="14" xfId="0" applyFont="1" applyFill="1" applyBorder="1" applyAlignment="1">
      <alignment horizontal="center"/>
    </xf>
    <xf numFmtId="0" fontId="52" fillId="28" borderId="3" xfId="0" applyFont="1" applyFill="1" applyBorder="1"/>
    <xf numFmtId="4" fontId="52" fillId="28" borderId="4" xfId="0" applyNumberFormat="1" applyFont="1" applyFill="1" applyBorder="1" applyAlignment="1">
      <alignment horizontal="right"/>
    </xf>
    <xf numFmtId="0" fontId="52" fillId="28" borderId="5" xfId="0" applyFont="1" applyFill="1" applyBorder="1"/>
    <xf numFmtId="0" fontId="52" fillId="28" borderId="6" xfId="0" applyFont="1" applyFill="1" applyBorder="1"/>
    <xf numFmtId="4" fontId="52" fillId="28" borderId="9" xfId="0" applyNumberFormat="1" applyFont="1" applyFill="1" applyBorder="1" applyAlignment="1">
      <alignment horizontal="right"/>
    </xf>
    <xf numFmtId="0" fontId="52" fillId="28" borderId="10" xfId="0" applyFont="1" applyFill="1" applyBorder="1"/>
    <xf numFmtId="0" fontId="52" fillId="28" borderId="11" xfId="0" applyFont="1" applyFill="1" applyBorder="1" applyAlignment="1">
      <alignment horizontal="center"/>
    </xf>
    <xf numFmtId="9" fontId="52" fillId="25" borderId="4" xfId="136" applyFont="1" applyFill="1" applyBorder="1" applyAlignment="1">
      <alignment horizontal="right"/>
    </xf>
    <xf numFmtId="4" fontId="52" fillId="25" borderId="9" xfId="0" applyNumberFormat="1" applyFont="1" applyFill="1" applyBorder="1" applyAlignment="1">
      <alignment horizontal="right"/>
    </xf>
    <xf numFmtId="0" fontId="52" fillId="25" borderId="10" xfId="0" applyFont="1" applyFill="1" applyBorder="1"/>
    <xf numFmtId="43" fontId="52" fillId="28" borderId="4" xfId="135" applyFont="1" applyFill="1" applyBorder="1" applyAlignment="1">
      <alignment horizontal="right"/>
    </xf>
    <xf numFmtId="0" fontId="52" fillId="28" borderId="5" xfId="2" applyFont="1" applyFill="1" applyBorder="1"/>
    <xf numFmtId="3" fontId="52" fillId="25" borderId="4" xfId="0" applyNumberFormat="1" applyFont="1" applyFill="1" applyBorder="1" applyAlignment="1">
      <alignment horizontal="right"/>
    </xf>
    <xf numFmtId="4" fontId="52" fillId="25" borderId="9" xfId="2" applyNumberFormat="1" applyFont="1" applyFill="1" applyBorder="1" applyAlignment="1">
      <alignment horizontal="right"/>
    </xf>
    <xf numFmtId="0" fontId="52" fillId="25" borderId="11" xfId="0" applyFont="1" applyFill="1" applyBorder="1" applyAlignment="1">
      <alignment horizontal="center" vertical="center"/>
    </xf>
    <xf numFmtId="4" fontId="52" fillId="28" borderId="4" xfId="2" applyNumberFormat="1" applyFont="1" applyFill="1" applyBorder="1" applyAlignment="1">
      <alignment horizontal="right"/>
    </xf>
    <xf numFmtId="0" fontId="52" fillId="28" borderId="8" xfId="0" applyFont="1" applyFill="1" applyBorder="1" applyAlignment="1"/>
    <xf numFmtId="0" fontId="52" fillId="28" borderId="10" xfId="0" applyFont="1" applyFill="1" applyBorder="1" applyAlignment="1"/>
    <xf numFmtId="0" fontId="52" fillId="28" borderId="11" xfId="0" applyFont="1" applyFill="1" applyBorder="1" applyAlignment="1">
      <alignment horizontal="center" vertical="center"/>
    </xf>
    <xf numFmtId="9" fontId="52" fillId="25" borderId="4" xfId="0" applyNumberFormat="1" applyFont="1" applyFill="1" applyBorder="1" applyAlignment="1">
      <alignment horizontal="right"/>
    </xf>
    <xf numFmtId="4" fontId="52" fillId="25" borderId="10" xfId="0" applyNumberFormat="1" applyFont="1" applyFill="1" applyBorder="1" applyAlignment="1">
      <alignment horizontal="left"/>
    </xf>
    <xf numFmtId="4" fontId="77" fillId="25" borderId="37" xfId="0" applyNumberFormat="1" applyFont="1" applyFill="1" applyBorder="1" applyAlignment="1">
      <alignment horizontal="center"/>
    </xf>
    <xf numFmtId="4" fontId="77" fillId="25" borderId="40" xfId="0" applyNumberFormat="1" applyFont="1" applyFill="1" applyBorder="1" applyAlignment="1">
      <alignment horizontal="center"/>
    </xf>
    <xf numFmtId="43" fontId="52" fillId="28" borderId="4" xfId="135" applyFont="1" applyFill="1" applyBorder="1" applyAlignment="1"/>
    <xf numFmtId="43" fontId="52" fillId="28" borderId="5" xfId="135" applyFont="1" applyFill="1" applyBorder="1" applyAlignment="1"/>
    <xf numFmtId="4" fontId="52" fillId="28" borderId="9" xfId="3" applyNumberFormat="1" applyFont="1" applyFill="1" applyBorder="1" applyAlignment="1"/>
    <xf numFmtId="4" fontId="52" fillId="28" borderId="10" xfId="3" applyNumberFormat="1" applyFont="1" applyFill="1" applyBorder="1" applyAlignment="1"/>
    <xf numFmtId="4" fontId="77" fillId="28" borderId="37" xfId="0" applyNumberFormat="1" applyFont="1" applyFill="1" applyBorder="1" applyAlignment="1">
      <alignment horizontal="center"/>
    </xf>
    <xf numFmtId="4" fontId="77" fillId="28" borderId="40" xfId="0" applyNumberFormat="1" applyFont="1" applyFill="1" applyBorder="1" applyAlignment="1">
      <alignment horizontal="center"/>
    </xf>
    <xf numFmtId="9" fontId="52" fillId="25" borderId="5" xfId="136" applyFont="1" applyFill="1" applyBorder="1" applyAlignment="1"/>
    <xf numFmtId="0" fontId="52" fillId="25" borderId="8" xfId="0" applyFont="1" applyFill="1" applyBorder="1" applyAlignment="1"/>
    <xf numFmtId="0" fontId="73" fillId="25" borderId="9" xfId="0" applyFont="1" applyFill="1" applyBorder="1"/>
    <xf numFmtId="7" fontId="52" fillId="25" borderId="10" xfId="0" applyNumberFormat="1" applyFont="1" applyFill="1" applyBorder="1" applyAlignment="1"/>
    <xf numFmtId="4" fontId="52" fillId="25" borderId="37" xfId="0" applyNumberFormat="1" applyFont="1" applyFill="1" applyBorder="1" applyAlignment="1">
      <alignment horizontal="center"/>
    </xf>
    <xf numFmtId="4" fontId="52" fillId="25" borderId="40" xfId="0" applyNumberFormat="1" applyFont="1" applyFill="1" applyBorder="1" applyAlignment="1">
      <alignment horizontal="center"/>
    </xf>
    <xf numFmtId="44" fontId="52" fillId="28" borderId="10" xfId="3" applyFont="1" applyFill="1" applyBorder="1" applyAlignment="1"/>
    <xf numFmtId="3" fontId="77" fillId="28" borderId="37" xfId="0" applyNumberFormat="1" applyFont="1" applyFill="1" applyBorder="1" applyAlignment="1">
      <alignment horizontal="center"/>
    </xf>
    <xf numFmtId="0" fontId="77" fillId="28" borderId="37" xfId="0" applyFont="1" applyFill="1" applyBorder="1" applyAlignment="1">
      <alignment horizontal="center"/>
    </xf>
    <xf numFmtId="0" fontId="77" fillId="28" borderId="40" xfId="0" applyFont="1" applyFill="1" applyBorder="1" applyAlignment="1">
      <alignment horizontal="center"/>
    </xf>
    <xf numFmtId="0" fontId="52" fillId="28" borderId="4" xfId="0" applyFont="1" applyFill="1" applyBorder="1"/>
    <xf numFmtId="0" fontId="73" fillId="28" borderId="4" xfId="0" applyFont="1" applyFill="1" applyBorder="1"/>
    <xf numFmtId="0" fontId="52" fillId="28" borderId="0" xfId="0" applyFont="1" applyFill="1" applyBorder="1"/>
    <xf numFmtId="43" fontId="52" fillId="28" borderId="0" xfId="135" applyFont="1" applyFill="1" applyBorder="1"/>
    <xf numFmtId="0" fontId="73" fillId="28" borderId="7" xfId="0" applyFont="1" applyFill="1" applyBorder="1"/>
    <xf numFmtId="181" fontId="52" fillId="28" borderId="9" xfId="0" applyNumberFormat="1" applyFont="1" applyFill="1" applyBorder="1" applyAlignment="1"/>
    <xf numFmtId="181" fontId="52" fillId="28" borderId="10" xfId="0" applyNumberFormat="1" applyFont="1" applyFill="1" applyBorder="1" applyAlignment="1"/>
    <xf numFmtId="182" fontId="52" fillId="25" borderId="10" xfId="0" applyNumberFormat="1" applyFont="1" applyFill="1" applyBorder="1" applyAlignment="1"/>
    <xf numFmtId="0" fontId="52" fillId="28" borderId="4" xfId="0" applyFont="1" applyFill="1" applyBorder="1" applyAlignment="1">
      <alignment horizontal="left"/>
    </xf>
    <xf numFmtId="3" fontId="52" fillId="28" borderId="4" xfId="2" applyNumberFormat="1" applyFont="1" applyFill="1" applyBorder="1"/>
    <xf numFmtId="0" fontId="52" fillId="28" borderId="6" xfId="0" applyFont="1" applyFill="1" applyBorder="1" applyAlignment="1">
      <alignment horizontal="left"/>
    </xf>
    <xf numFmtId="0" fontId="52" fillId="28" borderId="0" xfId="0" applyFont="1" applyFill="1" applyBorder="1" applyAlignment="1">
      <alignment horizontal="left"/>
    </xf>
    <xf numFmtId="4" fontId="52" fillId="28" borderId="0" xfId="2" applyNumberFormat="1" applyFont="1" applyFill="1" applyBorder="1"/>
    <xf numFmtId="0" fontId="52" fillId="28" borderId="7" xfId="2" applyFont="1" applyFill="1" applyBorder="1"/>
    <xf numFmtId="44" fontId="52" fillId="28" borderId="7" xfId="3" applyFont="1" applyFill="1" applyBorder="1" applyAlignment="1"/>
    <xf numFmtId="0" fontId="52" fillId="28" borderId="8" xfId="0" applyFont="1" applyFill="1" applyBorder="1" applyAlignment="1">
      <alignment horizontal="left"/>
    </xf>
    <xf numFmtId="185" fontId="52" fillId="28" borderId="10" xfId="3" applyNumberFormat="1" applyFont="1" applyFill="1" applyBorder="1" applyAlignment="1"/>
    <xf numFmtId="0" fontId="77" fillId="28" borderId="11" xfId="0" applyFont="1" applyFill="1" applyBorder="1" applyAlignment="1">
      <alignment horizontal="center" vertical="center"/>
    </xf>
    <xf numFmtId="0" fontId="77" fillId="28" borderId="11" xfId="0" applyFont="1" applyFill="1" applyBorder="1" applyAlignment="1">
      <alignment horizontal="center"/>
    </xf>
    <xf numFmtId="182" fontId="52" fillId="28" borderId="19" xfId="3" applyNumberFormat="1" applyFont="1" applyFill="1" applyBorder="1" applyAlignment="1">
      <alignment horizontal="center"/>
    </xf>
    <xf numFmtId="182" fontId="52" fillId="28" borderId="15" xfId="3" applyNumberFormat="1" applyFont="1" applyFill="1" applyBorder="1" applyAlignment="1">
      <alignment horizontal="center"/>
    </xf>
    <xf numFmtId="0" fontId="77" fillId="25" borderId="6" xfId="0" applyFont="1" applyFill="1" applyBorder="1" applyAlignment="1">
      <alignment horizontal="left" vertical="center"/>
    </xf>
    <xf numFmtId="43" fontId="77" fillId="25" borderId="0" xfId="135" applyFont="1" applyFill="1" applyBorder="1" applyAlignment="1">
      <alignment horizontal="right" vertical="center"/>
    </xf>
    <xf numFmtId="0" fontId="77" fillId="25" borderId="0" xfId="0" applyFont="1" applyFill="1" applyBorder="1" applyAlignment="1">
      <alignment vertical="center" wrapText="1"/>
    </xf>
    <xf numFmtId="0" fontId="77" fillId="25" borderId="6" xfId="0" applyFont="1" applyFill="1" applyBorder="1" applyAlignment="1">
      <alignment vertical="center"/>
    </xf>
    <xf numFmtId="9" fontId="77" fillId="25" borderId="0" xfId="136" applyFont="1" applyFill="1" applyBorder="1" applyAlignment="1">
      <alignment horizontal="right" vertical="center"/>
    </xf>
    <xf numFmtId="0" fontId="77" fillId="25" borderId="7" xfId="2" applyFont="1" applyFill="1" applyBorder="1" applyAlignment="1">
      <alignment vertical="center"/>
    </xf>
    <xf numFmtId="0" fontId="77" fillId="25" borderId="3" xfId="0" applyFont="1" applyFill="1" applyBorder="1" applyAlignment="1">
      <alignment vertical="center"/>
    </xf>
    <xf numFmtId="3" fontId="77" fillId="25" borderId="4" xfId="0" applyNumberFormat="1" applyFont="1" applyFill="1" applyBorder="1" applyAlignment="1">
      <alignment horizontal="right" vertical="center"/>
    </xf>
    <xf numFmtId="0" fontId="77" fillId="25" borderId="4" xfId="0" applyFont="1" applyFill="1" applyBorder="1" applyAlignment="1">
      <alignment vertical="center" wrapText="1"/>
    </xf>
    <xf numFmtId="185" fontId="77" fillId="25" borderId="4" xfId="135" applyNumberFormat="1" applyFont="1" applyFill="1" applyBorder="1" applyAlignment="1">
      <alignment horizontal="right" vertical="center"/>
    </xf>
    <xf numFmtId="0" fontId="77" fillId="25" borderId="5" xfId="0" applyFont="1" applyFill="1" applyBorder="1" applyAlignment="1">
      <alignment vertical="center"/>
    </xf>
    <xf numFmtId="0" fontId="77" fillId="25" borderId="4" xfId="0" applyFont="1" applyFill="1" applyBorder="1" applyAlignment="1">
      <alignment vertical="center"/>
    </xf>
    <xf numFmtId="0" fontId="77" fillId="25" borderId="0" xfId="0" applyFont="1" applyFill="1" applyBorder="1" applyAlignment="1">
      <alignment vertical="center"/>
    </xf>
    <xf numFmtId="43" fontId="77" fillId="25" borderId="0" xfId="135" applyFont="1" applyFill="1" applyBorder="1" applyAlignment="1">
      <alignment vertical="center"/>
    </xf>
    <xf numFmtId="43" fontId="77" fillId="25" borderId="4" xfId="135" applyFont="1" applyFill="1" applyBorder="1" applyAlignment="1">
      <alignment vertical="center"/>
    </xf>
    <xf numFmtId="0" fontId="77" fillId="25" borderId="8" xfId="0" applyFont="1" applyFill="1" applyBorder="1"/>
    <xf numFmtId="43" fontId="77" fillId="25" borderId="9" xfId="135" applyFont="1" applyFill="1" applyBorder="1" applyAlignment="1">
      <alignment horizontal="right"/>
    </xf>
    <xf numFmtId="182" fontId="77" fillId="25" borderId="9" xfId="2" applyNumberFormat="1" applyFont="1" applyFill="1" applyBorder="1" applyAlignment="1"/>
    <xf numFmtId="4" fontId="77" fillId="25" borderId="9" xfId="3" applyNumberFormat="1" applyFont="1" applyFill="1" applyBorder="1" applyAlignment="1">
      <alignment horizontal="right"/>
    </xf>
    <xf numFmtId="4" fontId="77" fillId="25" borderId="10" xfId="3" applyNumberFormat="1" applyFont="1" applyFill="1" applyBorder="1" applyAlignment="1"/>
    <xf numFmtId="4" fontId="77" fillId="25" borderId="9" xfId="2" applyNumberFormat="1" applyFont="1" applyFill="1" applyBorder="1" applyAlignment="1">
      <alignment horizontal="right"/>
    </xf>
    <xf numFmtId="0" fontId="77" fillId="25" borderId="9" xfId="0" applyFont="1" applyFill="1" applyBorder="1"/>
    <xf numFmtId="185" fontId="77" fillId="25" borderId="9" xfId="135" applyNumberFormat="1" applyFont="1" applyFill="1" applyBorder="1" applyAlignment="1">
      <alignment horizontal="right"/>
    </xf>
    <xf numFmtId="0" fontId="77" fillId="25" borderId="10" xfId="0" applyFont="1" applyFill="1" applyBorder="1"/>
    <xf numFmtId="0" fontId="77" fillId="25" borderId="0" xfId="0" applyFont="1" applyFill="1" applyBorder="1"/>
    <xf numFmtId="0" fontId="77" fillId="25" borderId="0" xfId="0" applyFont="1" applyFill="1" applyBorder="1" applyAlignment="1"/>
    <xf numFmtId="182" fontId="77" fillId="25" borderId="10" xfId="0" applyNumberFormat="1" applyFont="1" applyFill="1" applyBorder="1" applyAlignment="1"/>
    <xf numFmtId="0" fontId="77" fillId="25" borderId="6" xfId="0" applyFont="1" applyFill="1" applyBorder="1"/>
    <xf numFmtId="0" fontId="77" fillId="25" borderId="7" xfId="0" applyFont="1" applyFill="1" applyBorder="1" applyAlignment="1"/>
    <xf numFmtId="4" fontId="77" fillId="25" borderId="0" xfId="0" applyNumberFormat="1" applyFont="1" applyFill="1" applyBorder="1"/>
    <xf numFmtId="2" fontId="77" fillId="25" borderId="9" xfId="3" applyNumberFormat="1" applyFont="1" applyFill="1" applyBorder="1" applyAlignment="1"/>
    <xf numFmtId="2" fontId="77" fillId="25" borderId="10" xfId="3" applyNumberFormat="1" applyFont="1" applyFill="1" applyBorder="1" applyAlignment="1"/>
    <xf numFmtId="0" fontId="77" fillId="28" borderId="3" xfId="0" applyFont="1" applyFill="1" applyBorder="1" applyAlignment="1"/>
    <xf numFmtId="43" fontId="77" fillId="28" borderId="4" xfId="135" applyFont="1" applyFill="1" applyBorder="1" applyAlignment="1">
      <alignment horizontal="right"/>
    </xf>
    <xf numFmtId="0" fontId="77" fillId="28" borderId="4" xfId="2" applyFont="1" applyFill="1" applyBorder="1" applyAlignment="1"/>
    <xf numFmtId="0" fontId="77" fillId="28" borderId="5" xfId="2" applyFont="1" applyFill="1" applyBorder="1" applyAlignment="1"/>
    <xf numFmtId="4" fontId="77" fillId="28" borderId="4" xfId="2" applyNumberFormat="1" applyFont="1" applyFill="1" applyBorder="1" applyAlignment="1">
      <alignment horizontal="right"/>
    </xf>
    <xf numFmtId="43" fontId="77" fillId="28" borderId="4" xfId="135" applyFont="1" applyFill="1" applyBorder="1" applyAlignment="1"/>
    <xf numFmtId="43" fontId="77" fillId="28" borderId="5" xfId="135" applyFont="1" applyFill="1" applyBorder="1" applyAlignment="1"/>
    <xf numFmtId="10" fontId="77" fillId="28" borderId="4" xfId="0" applyNumberFormat="1" applyFont="1" applyFill="1" applyBorder="1" applyAlignment="1"/>
    <xf numFmtId="0" fontId="77" fillId="28" borderId="5" xfId="0" applyFont="1" applyFill="1" applyBorder="1" applyAlignment="1"/>
    <xf numFmtId="0" fontId="77" fillId="28" borderId="4" xfId="0" applyFont="1" applyFill="1" applyBorder="1" applyAlignment="1"/>
    <xf numFmtId="2" fontId="77" fillId="28" borderId="4" xfId="0" applyNumberFormat="1" applyFont="1" applyFill="1" applyBorder="1" applyAlignment="1"/>
    <xf numFmtId="0" fontId="77" fillId="28" borderId="4" xfId="0" applyFont="1" applyFill="1" applyBorder="1" applyAlignment="1">
      <alignment horizontal="left"/>
    </xf>
    <xf numFmtId="0" fontId="77" fillId="28" borderId="8" xfId="0" applyFont="1" applyFill="1" applyBorder="1" applyAlignment="1"/>
    <xf numFmtId="43" fontId="77" fillId="28" borderId="9" xfId="135" applyFont="1" applyFill="1" applyBorder="1" applyAlignment="1">
      <alignment horizontal="right"/>
    </xf>
    <xf numFmtId="182" fontId="77" fillId="28" borderId="9" xfId="0" applyNumberFormat="1" applyFont="1" applyFill="1" applyBorder="1" applyAlignment="1"/>
    <xf numFmtId="182" fontId="77" fillId="28" borderId="10" xfId="0" applyNumberFormat="1" applyFont="1" applyFill="1" applyBorder="1" applyAlignment="1"/>
    <xf numFmtId="4" fontId="77" fillId="28" borderId="9" xfId="0" applyNumberFormat="1" applyFont="1" applyFill="1" applyBorder="1" applyAlignment="1">
      <alignment horizontal="right"/>
    </xf>
    <xf numFmtId="0" fontId="77" fillId="28" borderId="10" xfId="0" applyFont="1" applyFill="1" applyBorder="1" applyAlignment="1"/>
    <xf numFmtId="4" fontId="77" fillId="28" borderId="9" xfId="3" applyNumberFormat="1" applyFont="1" applyFill="1" applyBorder="1" applyAlignment="1"/>
    <xf numFmtId="4" fontId="77" fillId="28" borderId="10" xfId="3" applyNumberFormat="1" applyFont="1" applyFill="1" applyBorder="1" applyAlignment="1"/>
    <xf numFmtId="44" fontId="77" fillId="28" borderId="9" xfId="3" applyFont="1" applyFill="1" applyBorder="1" applyAlignment="1"/>
    <xf numFmtId="44" fontId="77" fillId="28" borderId="10" xfId="3" applyFont="1" applyFill="1" applyBorder="1" applyAlignment="1"/>
    <xf numFmtId="0" fontId="77" fillId="28" borderId="6" xfId="0" applyFont="1" applyFill="1" applyBorder="1" applyAlignment="1"/>
    <xf numFmtId="0" fontId="77" fillId="28" borderId="0" xfId="0" applyFont="1" applyFill="1" applyBorder="1" applyAlignment="1"/>
    <xf numFmtId="43" fontId="77" fillId="28" borderId="0" xfId="135" applyFont="1" applyFill="1" applyBorder="1" applyAlignment="1"/>
    <xf numFmtId="0" fontId="77" fillId="28" borderId="7" xfId="0" applyFont="1" applyFill="1" applyBorder="1" applyAlignment="1"/>
    <xf numFmtId="43" fontId="77" fillId="28" borderId="9" xfId="135" applyFont="1" applyFill="1" applyBorder="1" applyAlignment="1"/>
    <xf numFmtId="0" fontId="77" fillId="28" borderId="0" xfId="0" applyFont="1" applyFill="1" applyBorder="1" applyAlignment="1">
      <alignment horizontal="left"/>
    </xf>
    <xf numFmtId="0" fontId="77" fillId="28" borderId="7" xfId="2" applyFont="1" applyFill="1" applyBorder="1" applyAlignment="1">
      <alignment wrapText="1"/>
    </xf>
    <xf numFmtId="43" fontId="77" fillId="28" borderId="0" xfId="0" applyNumberFormat="1" applyFont="1" applyFill="1" applyBorder="1" applyAlignment="1"/>
    <xf numFmtId="181" fontId="77" fillId="28" borderId="10" xfId="0" applyNumberFormat="1" applyFont="1" applyFill="1" applyBorder="1" applyAlignment="1"/>
    <xf numFmtId="185" fontId="77" fillId="28" borderId="0" xfId="3" applyNumberFormat="1" applyFont="1" applyFill="1" applyBorder="1" applyAlignment="1">
      <alignment horizontal="right"/>
    </xf>
    <xf numFmtId="44" fontId="77" fillId="28" borderId="7" xfId="3" applyFont="1" applyFill="1" applyBorder="1" applyAlignment="1"/>
    <xf numFmtId="185" fontId="77" fillId="28" borderId="9" xfId="3" applyNumberFormat="1" applyFont="1" applyFill="1" applyBorder="1" applyAlignment="1">
      <alignment horizontal="right"/>
    </xf>
    <xf numFmtId="44" fontId="77" fillId="28" borderId="10" xfId="3" applyNumberFormat="1" applyFont="1" applyFill="1" applyBorder="1" applyAlignment="1"/>
    <xf numFmtId="0" fontId="140" fillId="0" borderId="0" xfId="0" applyFont="1" applyFill="1" applyBorder="1" applyAlignment="1">
      <alignment vertical="center" wrapText="1"/>
    </xf>
    <xf numFmtId="4" fontId="53" fillId="0" borderId="0" xfId="2" applyNumberFormat="1" applyFont="1" applyFill="1" applyBorder="1" applyAlignment="1"/>
    <xf numFmtId="0" fontId="40" fillId="0" borderId="6" xfId="0" applyFont="1" applyFill="1" applyBorder="1" applyAlignment="1">
      <alignment vertical="center"/>
    </xf>
    <xf numFmtId="0" fontId="40" fillId="22" borderId="14" xfId="0" applyFont="1" applyFill="1" applyBorder="1" applyAlignment="1">
      <alignment horizontal="center"/>
    </xf>
    <xf numFmtId="0" fontId="40" fillId="0" borderId="0" xfId="94" applyFont="1" applyFill="1" applyBorder="1" applyAlignment="1">
      <alignment horizontal="left" wrapText="1"/>
    </xf>
    <xf numFmtId="0" fontId="122" fillId="0" borderId="4" xfId="0" applyFont="1" applyFill="1" applyBorder="1" applyAlignment="1">
      <alignment horizontal="center"/>
    </xf>
    <xf numFmtId="0" fontId="122" fillId="0" borderId="5" xfId="0" applyFont="1" applyFill="1" applyBorder="1" applyAlignment="1">
      <alignment horizontal="center"/>
    </xf>
    <xf numFmtId="0" fontId="32" fillId="5" borderId="0" xfId="0" applyFont="1" applyFill="1" applyBorder="1"/>
    <xf numFmtId="0" fontId="77" fillId="26" borderId="66" xfId="0" applyFont="1" applyFill="1" applyBorder="1" applyAlignment="1">
      <alignment horizontal="center"/>
    </xf>
    <xf numFmtId="165" fontId="32" fillId="0" borderId="103" xfId="0" applyNumberFormat="1" applyFont="1" applyBorder="1"/>
    <xf numFmtId="0" fontId="32" fillId="0" borderId="103" xfId="0" applyFont="1" applyBorder="1"/>
    <xf numFmtId="2" fontId="32" fillId="0" borderId="103" xfId="0" applyNumberFormat="1" applyFont="1" applyBorder="1" applyAlignment="1">
      <alignment horizontal="center" vertical="center"/>
    </xf>
    <xf numFmtId="165" fontId="32" fillId="0" borderId="103" xfId="0" applyNumberFormat="1" applyFont="1" applyBorder="1" applyAlignment="1">
      <alignment horizontal="center" vertical="center"/>
    </xf>
    <xf numFmtId="165" fontId="40" fillId="0" borderId="0" xfId="96" applyNumberFormat="1" applyFont="1" applyBorder="1"/>
    <xf numFmtId="165" fontId="40" fillId="0" borderId="0" xfId="94" applyNumberFormat="1" applyFont="1" applyFill="1" applyBorder="1" applyAlignment="1">
      <alignment vertical="center" wrapText="1"/>
    </xf>
    <xf numFmtId="165" fontId="34" fillId="0" borderId="0" xfId="0" applyNumberFormat="1" applyFont="1" applyFill="1" applyBorder="1" applyAlignment="1">
      <alignment horizontal="center" vertical="center" wrapText="1"/>
    </xf>
    <xf numFmtId="9" fontId="32" fillId="0" borderId="103" xfId="0" applyNumberFormat="1" applyFont="1" applyBorder="1"/>
    <xf numFmtId="0" fontId="40" fillId="0" borderId="11" xfId="88" applyFont="1" applyBorder="1" applyAlignment="1">
      <alignment horizontal="center" vertical="center"/>
    </xf>
    <xf numFmtId="0" fontId="77" fillId="26" borderId="66" xfId="0" applyFont="1" applyFill="1" applyBorder="1" applyAlignment="1">
      <alignment horizontal="left" vertical="center" wrapText="1"/>
    </xf>
    <xf numFmtId="0" fontId="40" fillId="0" borderId="11" xfId="88" applyFont="1" applyBorder="1" applyAlignment="1">
      <alignment horizontal="left" vertical="center" wrapText="1"/>
    </xf>
    <xf numFmtId="9" fontId="40" fillId="0" borderId="11" xfId="88" applyNumberFormat="1" applyFont="1" applyBorder="1" applyAlignment="1">
      <alignment horizontal="left" vertical="center" wrapText="1"/>
    </xf>
    <xf numFmtId="0" fontId="77" fillId="26" borderId="111" xfId="0" applyFont="1" applyFill="1" applyBorder="1" applyAlignment="1"/>
    <xf numFmtId="0" fontId="77" fillId="26" borderId="112" xfId="0" applyFont="1" applyFill="1" applyBorder="1" applyAlignment="1"/>
    <xf numFmtId="0" fontId="77" fillId="26" borderId="113" xfId="0" applyFont="1" applyFill="1" applyBorder="1" applyAlignment="1"/>
    <xf numFmtId="0" fontId="77" fillId="26" borderId="19" xfId="0" applyFont="1" applyFill="1" applyBorder="1" applyAlignment="1"/>
    <xf numFmtId="0" fontId="77" fillId="26" borderId="27" xfId="0" applyFont="1" applyFill="1" applyBorder="1" applyAlignment="1"/>
    <xf numFmtId="0" fontId="147" fillId="0" borderId="0" xfId="88" applyFont="1" applyFill="1" applyBorder="1" applyAlignment="1"/>
    <xf numFmtId="0" fontId="147" fillId="0" borderId="0" xfId="88" applyFont="1" applyFill="1" applyBorder="1" applyAlignment="1">
      <alignment horizontal="center"/>
    </xf>
    <xf numFmtId="176" fontId="40" fillId="21" borderId="11" xfId="108" applyNumberFormat="1" applyFont="1" applyFill="1" applyBorder="1" applyAlignment="1">
      <alignment horizontal="center"/>
    </xf>
    <xf numFmtId="0" fontId="40" fillId="0" borderId="37" xfId="88" applyFont="1" applyFill="1" applyBorder="1" applyAlignment="1">
      <alignment horizontal="left" wrapText="1"/>
    </xf>
    <xf numFmtId="10" fontId="40" fillId="21" borderId="11" xfId="88" applyNumberFormat="1" applyFont="1" applyFill="1" applyBorder="1" applyAlignment="1">
      <alignment wrapText="1"/>
    </xf>
    <xf numFmtId="10" fontId="40" fillId="0" borderId="37" xfId="88" applyNumberFormat="1" applyFont="1" applyBorder="1" applyAlignment="1">
      <alignment horizontal="left" wrapText="1"/>
    </xf>
    <xf numFmtId="0" fontId="40" fillId="0" borderId="0" xfId="88" applyFont="1" applyFill="1"/>
    <xf numFmtId="0" fontId="40" fillId="0" borderId="0" xfId="88" applyFont="1" applyFill="1" applyBorder="1" applyAlignment="1">
      <alignment horizontal="center" wrapText="1"/>
    </xf>
    <xf numFmtId="0" fontId="40" fillId="0" borderId="0" xfId="88" applyFont="1" applyFill="1" applyBorder="1" applyAlignment="1">
      <alignment wrapText="1"/>
    </xf>
    <xf numFmtId="0" fontId="40" fillId="21" borderId="11" xfId="88" applyFont="1" applyFill="1" applyBorder="1" applyAlignment="1">
      <alignment wrapText="1"/>
    </xf>
    <xf numFmtId="0" fontId="40" fillId="0" borderId="37" xfId="88" applyFont="1" applyBorder="1" applyAlignment="1">
      <alignment horizontal="left" wrapText="1"/>
    </xf>
    <xf numFmtId="176" fontId="53" fillId="0" borderId="0" xfId="108" applyNumberFormat="1" applyFont="1" applyFill="1" applyBorder="1" applyAlignment="1">
      <alignment horizontal="center" wrapText="1"/>
    </xf>
    <xf numFmtId="9" fontId="40" fillId="21" borderId="39" xfId="88" applyNumberFormat="1" applyFont="1" applyFill="1" applyBorder="1" applyAlignment="1">
      <alignment wrapText="1"/>
    </xf>
    <xf numFmtId="0" fontId="40" fillId="0" borderId="40" xfId="88" applyFont="1" applyBorder="1" applyAlignment="1">
      <alignment horizontal="left" wrapText="1"/>
    </xf>
    <xf numFmtId="0" fontId="40" fillId="0" borderId="0" xfId="88" applyFont="1" applyAlignment="1">
      <alignment wrapText="1"/>
    </xf>
    <xf numFmtId="0" fontId="53" fillId="21" borderId="75" xfId="88" applyFont="1" applyFill="1" applyBorder="1" applyAlignment="1">
      <alignment horizontal="center" wrapText="1"/>
    </xf>
    <xf numFmtId="0" fontId="40" fillId="21" borderId="26" xfId="88" applyFont="1" applyFill="1" applyBorder="1" applyAlignment="1">
      <alignment horizontal="center"/>
    </xf>
    <xf numFmtId="176" fontId="40" fillId="0" borderId="11" xfId="88" applyNumberFormat="1" applyFont="1" applyBorder="1" applyAlignment="1">
      <alignment horizontal="center"/>
    </xf>
    <xf numFmtId="176" fontId="40" fillId="0" borderId="11" xfId="88" applyNumberFormat="1" applyFont="1" applyFill="1" applyBorder="1" applyAlignment="1">
      <alignment horizontal="center"/>
    </xf>
    <xf numFmtId="176" fontId="40" fillId="0" borderId="37" xfId="88" applyNumberFormat="1" applyFont="1" applyFill="1" applyBorder="1" applyAlignment="1">
      <alignment horizontal="center"/>
    </xf>
    <xf numFmtId="0" fontId="53" fillId="21" borderId="39" xfId="88" applyFont="1" applyFill="1" applyBorder="1" applyAlignment="1">
      <alignment horizontal="center"/>
    </xf>
    <xf numFmtId="176" fontId="53" fillId="21" borderId="39" xfId="88" applyNumberFormat="1" applyFont="1" applyFill="1" applyBorder="1" applyAlignment="1">
      <alignment horizontal="center"/>
    </xf>
    <xf numFmtId="0" fontId="40" fillId="0" borderId="0" xfId="88" applyFont="1" applyFill="1" applyBorder="1" applyAlignment="1">
      <alignment horizontal="left" wrapText="1"/>
    </xf>
    <xf numFmtId="0" fontId="77" fillId="26" borderId="16" xfId="0" applyFont="1" applyFill="1" applyBorder="1" applyAlignment="1"/>
    <xf numFmtId="0" fontId="77" fillId="26" borderId="35" xfId="0" applyFont="1" applyFill="1" applyBorder="1" applyAlignment="1"/>
    <xf numFmtId="4" fontId="53" fillId="19" borderId="13" xfId="94" applyNumberFormat="1" applyFont="1" applyFill="1" applyBorder="1" applyAlignment="1">
      <alignment vertical="center"/>
    </xf>
    <xf numFmtId="4" fontId="53" fillId="19" borderId="11" xfId="94" applyNumberFormat="1" applyFont="1" applyFill="1" applyBorder="1" applyAlignment="1">
      <alignment vertical="center"/>
    </xf>
    <xf numFmtId="0" fontId="53" fillId="19" borderId="38" xfId="2" applyFont="1" applyFill="1" applyBorder="1" applyAlignment="1">
      <alignment vertical="center"/>
    </xf>
    <xf numFmtId="4" fontId="53" fillId="19" borderId="39" xfId="94" applyNumberFormat="1" applyFont="1" applyFill="1" applyBorder="1" applyAlignment="1">
      <alignment vertical="center"/>
    </xf>
    <xf numFmtId="0" fontId="53" fillId="19" borderId="39" xfId="2" applyFont="1" applyFill="1" applyBorder="1" applyAlignment="1">
      <alignment vertical="center"/>
    </xf>
    <xf numFmtId="0" fontId="53" fillId="19" borderId="40" xfId="2" applyFont="1" applyFill="1" applyBorder="1" applyAlignment="1">
      <alignment vertical="center"/>
    </xf>
    <xf numFmtId="0" fontId="58" fillId="0" borderId="103" xfId="0" applyFont="1" applyBorder="1" applyAlignment="1">
      <alignment vertical="center"/>
    </xf>
    <xf numFmtId="0" fontId="32" fillId="0" borderId="103" xfId="0" applyFont="1" applyBorder="1" applyAlignment="1"/>
    <xf numFmtId="165" fontId="40" fillId="0" borderId="0" xfId="94" applyNumberFormat="1" applyFont="1" applyFill="1" applyBorder="1" applyAlignment="1">
      <alignment horizontal="center" vertical="center" wrapText="1"/>
    </xf>
    <xf numFmtId="165" fontId="40" fillId="0" borderId="63" xfId="94" applyNumberFormat="1" applyFont="1" applyFill="1" applyBorder="1" applyAlignment="1">
      <alignment vertical="center" wrapText="1"/>
    </xf>
    <xf numFmtId="165" fontId="40" fillId="0" borderId="64" xfId="94" applyNumberFormat="1" applyFont="1" applyFill="1" applyBorder="1" applyAlignment="1">
      <alignment vertical="center" wrapText="1"/>
    </xf>
    <xf numFmtId="165" fontId="40" fillId="0" borderId="26" xfId="94" applyNumberFormat="1" applyFont="1" applyFill="1" applyBorder="1" applyAlignment="1">
      <alignment vertical="center" wrapText="1"/>
    </xf>
    <xf numFmtId="0" fontId="77" fillId="26" borderId="56" xfId="0" applyFont="1" applyFill="1" applyBorder="1" applyAlignment="1">
      <alignment horizontal="center"/>
    </xf>
    <xf numFmtId="0" fontId="40" fillId="0" borderId="11" xfId="94" applyFont="1" applyFill="1" applyBorder="1"/>
    <xf numFmtId="3" fontId="40" fillId="22" borderId="103" xfId="0" applyNumberFormat="1" applyFont="1" applyFill="1" applyBorder="1" applyAlignment="1">
      <alignment horizontal="center"/>
    </xf>
    <xf numFmtId="0" fontId="45" fillId="22" borderId="95" xfId="94" applyFont="1" applyFill="1" applyBorder="1"/>
    <xf numFmtId="0" fontId="40" fillId="0" borderId="103" xfId="94" applyFont="1" applyFill="1" applyBorder="1" applyAlignment="1">
      <alignment horizontal="center" vertical="center"/>
    </xf>
    <xf numFmtId="0" fontId="45" fillId="22" borderId="78" xfId="94" applyFont="1" applyFill="1" applyBorder="1"/>
    <xf numFmtId="0" fontId="40" fillId="5" borderId="0" xfId="94" applyFont="1" applyFill="1" applyBorder="1" applyAlignment="1">
      <alignment horizontal="left"/>
    </xf>
    <xf numFmtId="165" fontId="40" fillId="0" borderId="0" xfId="96" applyNumberFormat="1" applyFont="1"/>
    <xf numFmtId="165" fontId="40" fillId="0" borderId="0" xfId="96" applyNumberFormat="1" applyFont="1" applyFill="1"/>
    <xf numFmtId="0" fontId="32" fillId="0" borderId="0" xfId="0" applyFont="1" applyBorder="1" applyAlignment="1">
      <alignment vertical="center"/>
    </xf>
    <xf numFmtId="165" fontId="32" fillId="0" borderId="0" xfId="0" applyNumberFormat="1" applyFont="1" applyFill="1" applyBorder="1"/>
    <xf numFmtId="165" fontId="40" fillId="0" borderId="0" xfId="0" applyNumberFormat="1" applyFont="1"/>
    <xf numFmtId="165" fontId="40" fillId="0" borderId="0" xfId="0" applyNumberFormat="1" applyFont="1" applyFill="1"/>
    <xf numFmtId="0" fontId="32" fillId="5" borderId="103" xfId="0" applyFont="1" applyFill="1" applyBorder="1"/>
    <xf numFmtId="165" fontId="40" fillId="0" borderId="0" xfId="0" applyNumberFormat="1" applyFont="1" applyAlignment="1">
      <alignment horizontal="right"/>
    </xf>
    <xf numFmtId="2" fontId="40" fillId="21" borderId="11" xfId="88" applyNumberFormat="1" applyFont="1" applyFill="1" applyBorder="1" applyAlignment="1">
      <alignment wrapText="1"/>
    </xf>
    <xf numFmtId="0" fontId="142" fillId="5" borderId="0" xfId="94" applyFont="1" applyFill="1" applyBorder="1" applyAlignment="1">
      <alignment horizontal="center"/>
    </xf>
    <xf numFmtId="0" fontId="32" fillId="5" borderId="12" xfId="94" applyFont="1" applyFill="1" applyBorder="1" applyAlignment="1">
      <alignment horizontal="left" vertical="center" wrapText="1"/>
    </xf>
    <xf numFmtId="0" fontId="40" fillId="5" borderId="12" xfId="94" applyFont="1" applyFill="1" applyBorder="1" applyAlignment="1">
      <alignment horizontal="left" vertical="center" wrapText="1"/>
    </xf>
    <xf numFmtId="0" fontId="45" fillId="21" borderId="11" xfId="94" applyFont="1" applyFill="1" applyBorder="1" applyAlignment="1">
      <alignment horizontal="center" vertical="center"/>
    </xf>
    <xf numFmtId="0" fontId="45" fillId="5" borderId="11" xfId="94" applyFont="1" applyFill="1" applyBorder="1" applyAlignment="1">
      <alignment horizontal="center" vertical="center"/>
    </xf>
    <xf numFmtId="43" fontId="40" fillId="0" borderId="11" xfId="135" applyFont="1" applyFill="1" applyBorder="1" applyAlignment="1">
      <alignment horizontal="center"/>
    </xf>
    <xf numFmtId="0" fontId="40" fillId="21" borderId="82" xfId="88" applyFont="1" applyFill="1" applyBorder="1" applyAlignment="1">
      <alignment horizontal="center"/>
    </xf>
    <xf numFmtId="176" fontId="53" fillId="21" borderId="40" xfId="88" applyNumberFormat="1" applyFont="1" applyFill="1" applyBorder="1" applyAlignment="1">
      <alignment horizontal="center"/>
    </xf>
    <xf numFmtId="0" fontId="45" fillId="21" borderId="0" xfId="94" applyFont="1" applyFill="1" applyBorder="1"/>
    <xf numFmtId="1" fontId="32" fillId="0" borderId="0" xfId="0" applyNumberFormat="1" applyFont="1"/>
    <xf numFmtId="1" fontId="40" fillId="0" borderId="0" xfId="88" applyNumberFormat="1" applyFont="1"/>
    <xf numFmtId="1" fontId="40" fillId="0" borderId="0" xfId="88" applyNumberFormat="1" applyFont="1" applyFill="1" applyAlignment="1">
      <alignment wrapText="1"/>
    </xf>
    <xf numFmtId="1" fontId="77" fillId="26" borderId="66" xfId="0" applyNumberFormat="1" applyFont="1" applyFill="1" applyBorder="1" applyAlignment="1">
      <alignment horizontal="left" vertical="center" wrapText="1"/>
    </xf>
    <xf numFmtId="1" fontId="40" fillId="0" borderId="11" xfId="88" applyNumberFormat="1" applyFont="1" applyBorder="1" applyAlignment="1">
      <alignment horizontal="left" vertical="center" wrapText="1"/>
    </xf>
    <xf numFmtId="1" fontId="77" fillId="26" borderId="27" xfId="0" applyNumberFormat="1" applyFont="1" applyFill="1" applyBorder="1" applyAlignment="1"/>
    <xf numFmtId="1" fontId="40" fillId="21" borderId="26" xfId="88" applyNumberFormat="1" applyFont="1" applyFill="1" applyBorder="1" applyAlignment="1">
      <alignment horizontal="center"/>
    </xf>
    <xf numFmtId="1" fontId="32" fillId="0" borderId="11" xfId="108" applyNumberFormat="1" applyFont="1" applyBorder="1" applyAlignment="1">
      <alignment horizontal="center"/>
    </xf>
    <xf numFmtId="1" fontId="40" fillId="0" borderId="11" xfId="88" applyNumberFormat="1" applyFont="1" applyFill="1" applyBorder="1" applyAlignment="1">
      <alignment horizontal="center"/>
    </xf>
    <xf numFmtId="1" fontId="53" fillId="21" borderId="39" xfId="88" applyNumberFormat="1" applyFont="1" applyFill="1" applyBorder="1" applyAlignment="1">
      <alignment horizontal="center"/>
    </xf>
    <xf numFmtId="9" fontId="40" fillId="5" borderId="11" xfId="136" applyFont="1" applyFill="1" applyBorder="1" applyAlignment="1">
      <alignment horizontal="center" vertical="center"/>
    </xf>
    <xf numFmtId="0" fontId="73" fillId="0" borderId="0" xfId="0" applyFont="1"/>
    <xf numFmtId="1" fontId="40" fillId="0" borderId="0" xfId="0" applyNumberFormat="1" applyFont="1"/>
    <xf numFmtId="0" fontId="40" fillId="0" borderId="6" xfId="0" applyFont="1" applyFill="1" applyBorder="1" applyAlignment="1">
      <alignment horizontal="right" vertical="center"/>
    </xf>
    <xf numFmtId="0" fontId="40" fillId="0" borderId="0" xfId="0" applyFont="1" applyFill="1" applyBorder="1" applyAlignment="1">
      <alignment horizontal="right" vertical="center"/>
    </xf>
    <xf numFmtId="0" fontId="32" fillId="0" borderId="0" xfId="0" applyFont="1" applyFill="1" applyBorder="1"/>
    <xf numFmtId="9" fontId="40" fillId="0" borderId="11" xfId="136" applyFont="1" applyBorder="1" applyAlignment="1">
      <alignment horizontal="left" vertical="center" wrapText="1"/>
    </xf>
    <xf numFmtId="0" fontId="32" fillId="0" borderId="0" xfId="0" applyFont="1" applyFill="1" applyBorder="1" applyAlignment="1">
      <alignment horizontal="center" vertical="center" wrapText="1"/>
    </xf>
    <xf numFmtId="0" fontId="40" fillId="0" borderId="0" xfId="88" applyFont="1" applyFill="1" applyBorder="1" applyAlignment="1"/>
    <xf numFmtId="0" fontId="77" fillId="0" borderId="0" xfId="0" applyFont="1" applyFill="1" applyBorder="1" applyAlignment="1">
      <alignment wrapText="1"/>
    </xf>
    <xf numFmtId="0" fontId="77" fillId="26" borderId="70" xfId="0" applyFont="1" applyFill="1" applyBorder="1" applyAlignment="1">
      <alignment horizontal="center" vertical="center"/>
    </xf>
    <xf numFmtId="0" fontId="77" fillId="26" borderId="70" xfId="0" applyFont="1" applyFill="1" applyBorder="1" applyAlignment="1">
      <alignment vertical="center" wrapText="1"/>
    </xf>
    <xf numFmtId="0" fontId="32" fillId="0" borderId="114" xfId="0" applyFont="1" applyBorder="1" applyAlignment="1">
      <alignment horizontal="center" vertical="center"/>
    </xf>
    <xf numFmtId="0" fontId="32" fillId="0" borderId="115" xfId="0" applyFont="1" applyBorder="1" applyAlignment="1">
      <alignment horizontal="center" vertical="center"/>
    </xf>
    <xf numFmtId="165" fontId="32" fillId="5" borderId="115" xfId="0" applyNumberFormat="1" applyFont="1" applyFill="1" applyBorder="1" applyAlignment="1">
      <alignment horizontal="center" vertical="center"/>
    </xf>
    <xf numFmtId="2" fontId="32" fillId="0" borderId="14" xfId="0" applyNumberFormat="1" applyFont="1" applyBorder="1" applyAlignment="1">
      <alignment horizontal="center" vertical="center"/>
    </xf>
    <xf numFmtId="165" fontId="32" fillId="0" borderId="14" xfId="0" applyNumberFormat="1" applyFont="1" applyBorder="1" applyAlignment="1">
      <alignment horizontal="center" vertical="center"/>
    </xf>
    <xf numFmtId="0" fontId="40" fillId="0" borderId="57" xfId="88" applyFont="1" applyBorder="1" applyAlignment="1">
      <alignment horizontal="center"/>
    </xf>
    <xf numFmtId="0" fontId="32" fillId="0" borderId="115" xfId="0" applyFont="1" applyBorder="1"/>
    <xf numFmtId="0" fontId="77" fillId="26" borderId="70" xfId="0" applyFont="1" applyFill="1" applyBorder="1" applyAlignment="1"/>
    <xf numFmtId="0" fontId="77" fillId="26" borderId="70" xfId="0" applyFont="1" applyFill="1" applyBorder="1" applyAlignment="1">
      <alignment horizontal="center"/>
    </xf>
    <xf numFmtId="0" fontId="40" fillId="0" borderId="55" xfId="0" applyFont="1" applyFill="1" applyBorder="1" applyAlignment="1">
      <alignment horizontal="left" vertical="center"/>
    </xf>
    <xf numFmtId="0" fontId="40" fillId="0" borderId="56" xfId="0" applyFont="1" applyFill="1" applyBorder="1" applyAlignment="1">
      <alignment horizontal="left" vertical="center"/>
    </xf>
    <xf numFmtId="0" fontId="40" fillId="0" borderId="58" xfId="0" applyFont="1" applyFill="1" applyBorder="1" applyAlignment="1">
      <alignment horizontal="left" vertical="center"/>
    </xf>
    <xf numFmtId="0" fontId="45" fillId="21" borderId="57" xfId="94" applyFont="1" applyFill="1" applyBorder="1" applyAlignment="1">
      <alignment horizontal="center" vertical="center"/>
    </xf>
    <xf numFmtId="0" fontId="45" fillId="21" borderId="59" xfId="94" applyFont="1" applyFill="1" applyBorder="1" applyAlignment="1">
      <alignment horizontal="center" vertical="center"/>
    </xf>
    <xf numFmtId="0" fontId="45" fillId="21" borderId="116" xfId="94" applyFont="1" applyFill="1" applyBorder="1" applyAlignment="1">
      <alignment horizontal="center" vertical="center"/>
    </xf>
    <xf numFmtId="183" fontId="40" fillId="22" borderId="14" xfId="136" applyNumberFormat="1" applyFont="1" applyFill="1" applyBorder="1" applyAlignment="1">
      <alignment horizontal="center"/>
    </xf>
    <xf numFmtId="176" fontId="40" fillId="0" borderId="37" xfId="88" applyNumberFormat="1" applyFont="1" applyBorder="1" applyAlignment="1">
      <alignment horizontal="center"/>
    </xf>
    <xf numFmtId="43" fontId="40" fillId="0" borderId="37" xfId="135" applyFont="1" applyFill="1" applyBorder="1" applyAlignment="1">
      <alignment horizontal="center"/>
    </xf>
    <xf numFmtId="0" fontId="40" fillId="0" borderId="0" xfId="0" applyFont="1"/>
    <xf numFmtId="0" fontId="53" fillId="26" borderId="27" xfId="0" applyFont="1" applyFill="1" applyBorder="1" applyAlignment="1"/>
    <xf numFmtId="0" fontId="53" fillId="26" borderId="20" xfId="0" applyFont="1" applyFill="1" applyBorder="1" applyAlignment="1"/>
    <xf numFmtId="176" fontId="40" fillId="0" borderId="11" xfId="108" applyNumberFormat="1" applyFont="1" applyBorder="1" applyAlignment="1">
      <alignment horizontal="center"/>
    </xf>
    <xf numFmtId="176" fontId="40" fillId="0" borderId="37" xfId="108" applyNumberFormat="1" applyFont="1" applyBorder="1" applyAlignment="1">
      <alignment horizontal="center"/>
    </xf>
    <xf numFmtId="2" fontId="32" fillId="0" borderId="115" xfId="0" applyNumberFormat="1" applyFont="1" applyBorder="1" applyAlignment="1">
      <alignment horizontal="center" vertical="center"/>
    </xf>
    <xf numFmtId="0" fontId="32" fillId="0" borderId="58" xfId="0" applyFont="1" applyFill="1" applyBorder="1" applyAlignment="1">
      <alignment horizontal="left" vertical="center" wrapText="1"/>
    </xf>
    <xf numFmtId="0" fontId="32" fillId="0" borderId="58" xfId="0" applyFont="1" applyFill="1" applyBorder="1" applyAlignment="1">
      <alignment horizontal="center" vertical="center" wrapText="1"/>
    </xf>
    <xf numFmtId="0" fontId="77" fillId="0" borderId="58" xfId="0" applyFont="1" applyFill="1" applyBorder="1" applyAlignment="1">
      <alignment horizontal="center"/>
    </xf>
    <xf numFmtId="177" fontId="32" fillId="0" borderId="58" xfId="136" applyNumberFormat="1" applyFont="1" applyFill="1" applyBorder="1" applyAlignment="1">
      <alignment vertical="center"/>
    </xf>
    <xf numFmtId="0" fontId="32" fillId="0" borderId="58" xfId="0" applyFont="1" applyFill="1" applyBorder="1" applyAlignment="1">
      <alignment wrapText="1"/>
    </xf>
    <xf numFmtId="0" fontId="32" fillId="0" borderId="0" xfId="0" applyFont="1" applyFill="1" applyBorder="1" applyAlignment="1">
      <alignment vertical="top"/>
    </xf>
    <xf numFmtId="0" fontId="32" fillId="0" borderId="0" xfId="0" applyFont="1" applyBorder="1" applyAlignment="1">
      <alignment wrapText="1"/>
    </xf>
    <xf numFmtId="0" fontId="40" fillId="0" borderId="6" xfId="0" applyFont="1" applyFill="1" applyBorder="1" applyAlignment="1">
      <alignment horizontal="right"/>
    </xf>
    <xf numFmtId="0" fontId="40" fillId="0" borderId="0" xfId="0" applyFont="1" applyFill="1" applyBorder="1" applyAlignment="1">
      <alignment horizontal="right"/>
    </xf>
    <xf numFmtId="0" fontId="53" fillId="0" borderId="0" xfId="0" applyFont="1" applyFill="1" applyBorder="1" applyAlignment="1">
      <alignment horizontal="right"/>
    </xf>
    <xf numFmtId="0" fontId="40" fillId="0" borderId="6" xfId="0" applyFont="1" applyFill="1" applyBorder="1" applyAlignment="1">
      <alignment horizontal="right" vertical="center"/>
    </xf>
    <xf numFmtId="0" fontId="40" fillId="0" borderId="0" xfId="0" applyFont="1" applyFill="1" applyBorder="1" applyAlignment="1">
      <alignment horizontal="right" vertical="center"/>
    </xf>
    <xf numFmtId="0" fontId="53" fillId="0" borderId="0" xfId="0" applyFont="1" applyFill="1" applyBorder="1" applyAlignment="1">
      <alignment horizontal="right" vertical="center"/>
    </xf>
    <xf numFmtId="0" fontId="32" fillId="0" borderId="58" xfId="0" applyFont="1" applyFill="1" applyBorder="1" applyAlignment="1">
      <alignment vertical="center" wrapText="1"/>
    </xf>
    <xf numFmtId="0" fontId="32" fillId="0" borderId="56" xfId="0" applyFont="1" applyBorder="1" applyAlignment="1">
      <alignment wrapText="1"/>
    </xf>
    <xf numFmtId="0" fontId="32" fillId="0" borderId="114"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96" xfId="0" applyFont="1" applyFill="1" applyBorder="1" applyAlignment="1">
      <alignment horizontal="center" vertical="center"/>
    </xf>
    <xf numFmtId="0" fontId="45" fillId="22" borderId="7" xfId="94" applyFont="1" applyFill="1" applyBorder="1"/>
    <xf numFmtId="2" fontId="40" fillId="0" borderId="14" xfId="94" applyNumberFormat="1" applyFont="1" applyFill="1" applyBorder="1" applyAlignment="1">
      <alignment horizontal="center" vertical="center"/>
    </xf>
    <xf numFmtId="0" fontId="40" fillId="22" borderId="71" xfId="94" applyFont="1" applyFill="1" applyBorder="1"/>
    <xf numFmtId="0" fontId="32" fillId="0" borderId="0" xfId="0" applyFont="1" applyBorder="1" applyAlignment="1">
      <alignment horizontal="center"/>
    </xf>
    <xf numFmtId="0" fontId="32" fillId="0" borderId="56" xfId="0" applyFont="1" applyFill="1" applyBorder="1" applyAlignment="1">
      <alignment horizontal="center" vertical="center" wrapText="1"/>
    </xf>
    <xf numFmtId="0" fontId="32" fillId="0" borderId="56" xfId="0" applyFont="1" applyFill="1" applyBorder="1" applyAlignment="1">
      <alignment horizontal="center" vertical="center"/>
    </xf>
    <xf numFmtId="0" fontId="34" fillId="0" borderId="6" xfId="0" applyFont="1" applyBorder="1"/>
    <xf numFmtId="4" fontId="40" fillId="0" borderId="103" xfId="0" applyNumberFormat="1" applyFont="1" applyFill="1" applyBorder="1"/>
    <xf numFmtId="43" fontId="35" fillId="22" borderId="14" xfId="135" applyFont="1" applyFill="1" applyBorder="1" applyAlignment="1" applyProtection="1">
      <alignment horizontal="center" vertical="center"/>
      <protection locked="0"/>
    </xf>
    <xf numFmtId="183" fontId="40" fillId="22" borderId="14" xfId="0" applyNumberFormat="1" applyFont="1" applyFill="1" applyBorder="1" applyAlignment="1">
      <alignment horizontal="center" vertical="center"/>
    </xf>
    <xf numFmtId="0" fontId="32" fillId="0" borderId="14" xfId="0" applyNumberFormat="1" applyFont="1" applyBorder="1" applyAlignment="1">
      <alignment horizontal="center"/>
    </xf>
    <xf numFmtId="0" fontId="39" fillId="0" borderId="56" xfId="0" applyFont="1" applyFill="1" applyBorder="1" applyAlignment="1">
      <alignment vertical="center" wrapText="1"/>
    </xf>
    <xf numFmtId="0" fontId="32" fillId="0" borderId="56" xfId="0" applyFont="1" applyFill="1" applyBorder="1" applyAlignment="1">
      <alignment horizontal="center"/>
    </xf>
    <xf numFmtId="2" fontId="32" fillId="0" borderId="56" xfId="0" applyNumberFormat="1" applyFont="1" applyFill="1" applyBorder="1" applyAlignment="1">
      <alignment horizontal="center" vertical="center" wrapText="1"/>
    </xf>
    <xf numFmtId="0" fontId="39" fillId="0" borderId="56" xfId="0" applyFont="1" applyFill="1" applyBorder="1" applyAlignment="1">
      <alignment vertical="center"/>
    </xf>
    <xf numFmtId="0" fontId="49" fillId="19" borderId="0" xfId="0" applyFont="1" applyFill="1" applyBorder="1" applyAlignment="1">
      <alignment horizontal="center" vertical="center"/>
    </xf>
    <xf numFmtId="0" fontId="49" fillId="19" borderId="4" xfId="0" applyFont="1" applyFill="1" applyBorder="1" applyAlignment="1">
      <alignment horizontal="center" vertical="center"/>
    </xf>
    <xf numFmtId="0" fontId="49" fillId="19" borderId="6" xfId="0" applyFont="1" applyFill="1" applyBorder="1"/>
    <xf numFmtId="0" fontId="49" fillId="19" borderId="7" xfId="2" applyFont="1" applyFill="1" applyBorder="1" applyAlignment="1"/>
    <xf numFmtId="0" fontId="49" fillId="19" borderId="6" xfId="0" applyFont="1" applyFill="1" applyBorder="1" applyAlignment="1"/>
    <xf numFmtId="4" fontId="49" fillId="19" borderId="0" xfId="135" applyNumberFormat="1" applyFont="1" applyFill="1" applyBorder="1" applyAlignment="1">
      <alignment horizontal="center"/>
    </xf>
    <xf numFmtId="0" fontId="45" fillId="19" borderId="4" xfId="94" applyFont="1" applyFill="1" applyBorder="1"/>
    <xf numFmtId="0" fontId="45" fillId="19" borderId="0" xfId="94" applyFont="1" applyFill="1" applyBorder="1"/>
    <xf numFmtId="0" fontId="45" fillId="19" borderId="9" xfId="94" applyFont="1" applyFill="1" applyBorder="1"/>
    <xf numFmtId="0" fontId="40" fillId="22" borderId="14" xfId="0" applyFont="1" applyFill="1" applyBorder="1" applyAlignment="1">
      <alignment horizontal="center" vertical="center" wrapText="1"/>
    </xf>
    <xf numFmtId="0" fontId="40" fillId="22" borderId="103" xfId="0" applyFont="1" applyFill="1" applyBorder="1" applyAlignment="1">
      <alignment horizontal="left"/>
    </xf>
    <xf numFmtId="0" fontId="40" fillId="22" borderId="18" xfId="0" applyFont="1" applyFill="1" applyBorder="1" applyAlignment="1">
      <alignment horizontal="left"/>
    </xf>
    <xf numFmtId="3" fontId="35" fillId="22" borderId="14" xfId="135" applyNumberFormat="1" applyFont="1" applyFill="1" applyBorder="1" applyAlignment="1">
      <alignment horizontal="center"/>
    </xf>
    <xf numFmtId="3" fontId="35" fillId="5" borderId="14" xfId="135" applyNumberFormat="1" applyFont="1" applyFill="1" applyBorder="1" applyAlignment="1">
      <alignment horizontal="center" vertical="center"/>
    </xf>
    <xf numFmtId="0" fontId="40" fillId="0" borderId="103" xfId="0" applyFont="1" applyFill="1" applyBorder="1" applyAlignment="1">
      <alignment horizontal="left"/>
    </xf>
    <xf numFmtId="188" fontId="52" fillId="25" borderId="4" xfId="136" applyNumberFormat="1" applyFont="1" applyFill="1" applyBorder="1" applyAlignment="1">
      <alignment horizontal="right"/>
    </xf>
    <xf numFmtId="0" fontId="32" fillId="0" borderId="0" xfId="0" applyFont="1" applyAlignment="1">
      <alignment horizontal="left" vertical="top"/>
    </xf>
    <xf numFmtId="0" fontId="56" fillId="5" borderId="0" xfId="0" applyFont="1" applyFill="1" applyBorder="1" applyAlignment="1">
      <alignment horizontal="left" vertical="center" wrapText="1"/>
    </xf>
    <xf numFmtId="0" fontId="32" fillId="0" borderId="0" xfId="0" applyFont="1" applyBorder="1" applyAlignment="1">
      <alignment horizontal="left" wrapText="1"/>
    </xf>
    <xf numFmtId="0" fontId="123" fillId="0" borderId="6" xfId="0" applyFont="1" applyFill="1" applyBorder="1" applyAlignment="1"/>
    <xf numFmtId="0" fontId="46" fillId="0" borderId="30" xfId="0" applyFont="1" applyBorder="1" applyAlignment="1">
      <alignment horizontal="center"/>
    </xf>
    <xf numFmtId="0" fontId="46" fillId="0" borderId="0" xfId="0" applyFont="1" applyBorder="1" applyAlignment="1">
      <alignment horizontal="center"/>
    </xf>
    <xf numFmtId="0" fontId="46" fillId="0" borderId="23" xfId="0" applyFont="1" applyBorder="1" applyAlignment="1">
      <alignment horizontal="center"/>
    </xf>
    <xf numFmtId="0" fontId="39" fillId="0" borderId="0" xfId="0" applyFont="1" applyBorder="1" applyAlignment="1">
      <alignment vertical="center"/>
    </xf>
    <xf numFmtId="4" fontId="35" fillId="22" borderId="11" xfId="0" applyNumberFormat="1" applyFont="1" applyFill="1" applyBorder="1" applyAlignment="1">
      <alignment horizontal="center"/>
    </xf>
    <xf numFmtId="0" fontId="32" fillId="5" borderId="0" xfId="0" applyFont="1" applyFill="1" applyBorder="1"/>
    <xf numFmtId="4" fontId="52" fillId="25" borderId="9" xfId="3" applyNumberFormat="1" applyFont="1" applyFill="1" applyBorder="1" applyAlignment="1">
      <alignment horizontal="right"/>
    </xf>
    <xf numFmtId="0" fontId="39" fillId="0" borderId="0" xfId="0" applyFont="1" applyBorder="1" applyAlignment="1">
      <alignment horizontal="left" vertical="center"/>
    </xf>
    <xf numFmtId="0" fontId="32" fillId="0" borderId="0" xfId="0" applyFont="1" applyBorder="1" applyAlignment="1">
      <alignment horizontal="center"/>
    </xf>
    <xf numFmtId="0" fontId="122" fillId="0" borderId="4" xfId="0" applyFont="1" applyFill="1" applyBorder="1" applyAlignment="1">
      <alignment horizontal="center"/>
    </xf>
    <xf numFmtId="0" fontId="32" fillId="5" borderId="0" xfId="0" applyFont="1" applyFill="1" applyBorder="1"/>
    <xf numFmtId="0" fontId="32" fillId="0" borderId="0" xfId="0" applyFont="1" applyFill="1" applyAlignment="1">
      <alignment horizontal="left" vertical="top" wrapText="1"/>
    </xf>
    <xf numFmtId="0" fontId="32" fillId="0" borderId="0" xfId="0" applyFont="1" applyFill="1" applyAlignment="1">
      <alignment vertical="top" wrapText="1"/>
    </xf>
    <xf numFmtId="0" fontId="32" fillId="0" borderId="0" xfId="0" applyFont="1" applyFill="1" applyAlignment="1">
      <alignment horizontal="left" vertical="top"/>
    </xf>
    <xf numFmtId="0" fontId="45" fillId="0" borderId="115" xfId="0" applyFont="1" applyFill="1" applyBorder="1" applyAlignment="1">
      <alignment horizontal="center"/>
    </xf>
    <xf numFmtId="0" fontId="40" fillId="0" borderId="14" xfId="0" applyFont="1" applyFill="1" applyBorder="1"/>
    <xf numFmtId="0" fontId="41" fillId="0" borderId="23" xfId="0" applyFont="1" applyBorder="1" applyAlignment="1"/>
    <xf numFmtId="4" fontId="35" fillId="22" borderId="70" xfId="0" applyNumberFormat="1" applyFont="1" applyFill="1" applyBorder="1" applyAlignment="1">
      <alignment horizontal="center"/>
    </xf>
    <xf numFmtId="0" fontId="40" fillId="5" borderId="70" xfId="0" applyFont="1" applyFill="1" applyBorder="1"/>
    <xf numFmtId="0" fontId="45" fillId="5" borderId="78" xfId="0" applyFont="1" applyFill="1" applyBorder="1"/>
    <xf numFmtId="0" fontId="35" fillId="22" borderId="37" xfId="0" applyFont="1" applyFill="1" applyBorder="1" applyAlignment="1">
      <alignment horizontal="center"/>
    </xf>
    <xf numFmtId="0" fontId="49" fillId="19" borderId="7" xfId="2" applyFont="1" applyFill="1" applyBorder="1" applyAlignment="1">
      <alignment wrapText="1"/>
    </xf>
    <xf numFmtId="4" fontId="35" fillId="0" borderId="14" xfId="0" applyNumberFormat="1" applyFont="1" applyFill="1" applyBorder="1" applyAlignment="1">
      <alignment horizontal="center"/>
    </xf>
    <xf numFmtId="3" fontId="35" fillId="5" borderId="21" xfId="0" applyNumberFormat="1" applyFont="1" applyFill="1" applyBorder="1" applyAlignment="1">
      <alignment horizontal="center"/>
    </xf>
    <xf numFmtId="182" fontId="34" fillId="5" borderId="21" xfId="0" applyNumberFormat="1" applyFont="1" applyFill="1" applyBorder="1" applyAlignment="1">
      <alignment horizontal="center"/>
    </xf>
    <xf numFmtId="0" fontId="40" fillId="5" borderId="14" xfId="0" applyFont="1" applyFill="1" applyBorder="1" applyAlignment="1">
      <alignment horizontal="center" wrapText="1"/>
    </xf>
    <xf numFmtId="0" fontId="32" fillId="0" borderId="98" xfId="64" applyFont="1" applyFill="1" applyBorder="1">
      <protection locked="0"/>
    </xf>
    <xf numFmtId="0" fontId="45" fillId="0" borderId="99" xfId="65" applyFont="1" applyFill="1" applyBorder="1"/>
    <xf numFmtId="0" fontId="45" fillId="0" borderId="98" xfId="66" applyFont="1" applyFill="1" applyBorder="1"/>
    <xf numFmtId="0" fontId="142" fillId="0" borderId="98" xfId="67" applyFont="1" applyFill="1" applyBorder="1"/>
    <xf numFmtId="3" fontId="40" fillId="22" borderId="115" xfId="0" applyNumberFormat="1" applyFont="1" applyFill="1" applyBorder="1" applyAlignment="1">
      <alignment horizontal="center" vertical="center"/>
    </xf>
    <xf numFmtId="0" fontId="32" fillId="22" borderId="115" xfId="0" applyFont="1" applyFill="1" applyBorder="1" applyAlignment="1">
      <alignment horizontal="center" vertical="center"/>
    </xf>
    <xf numFmtId="0" fontId="35" fillId="0" borderId="8" xfId="0" applyFont="1" applyBorder="1" applyAlignment="1">
      <alignment horizontal="left" vertical="center"/>
    </xf>
    <xf numFmtId="0" fontId="39" fillId="0" borderId="9" xfId="0" applyFont="1" applyBorder="1" applyAlignment="1">
      <alignment horizontal="left" vertical="center"/>
    </xf>
    <xf numFmtId="0" fontId="40" fillId="0" borderId="9" xfId="0" applyFont="1" applyBorder="1" applyAlignment="1">
      <alignment horizontal="center" vertical="center"/>
    </xf>
    <xf numFmtId="4" fontId="40" fillId="22" borderId="70" xfId="0" applyNumberFormat="1" applyFont="1" applyFill="1" applyBorder="1" applyAlignment="1">
      <alignment horizontal="center" vertical="center"/>
    </xf>
    <xf numFmtId="0" fontId="152" fillId="0" borderId="0" xfId="0" applyFont="1"/>
    <xf numFmtId="0" fontId="42" fillId="0" borderId="0" xfId="0" applyFont="1" applyFill="1" applyAlignment="1">
      <alignment vertical="center" wrapText="1"/>
    </xf>
    <xf numFmtId="0" fontId="50" fillId="0" borderId="0" xfId="0" applyFont="1" applyFill="1" applyAlignment="1">
      <alignment horizontal="center" vertical="center"/>
    </xf>
    <xf numFmtId="0" fontId="4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0"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32" fillId="0" borderId="0" xfId="0" applyNumberFormat="1" applyFont="1" applyFill="1" applyAlignment="1">
      <alignment horizontal="center" vertical="top" wrapText="1"/>
    </xf>
    <xf numFmtId="49" fontId="27" fillId="0" borderId="0" xfId="138" applyNumberFormat="1" applyFill="1" applyAlignment="1" applyProtection="1">
      <alignment horizontal="center" vertical="top" wrapText="1"/>
      <protection locked="0"/>
    </xf>
    <xf numFmtId="49" fontId="32" fillId="0" borderId="0" xfId="0" applyNumberFormat="1" applyFont="1" applyFill="1" applyAlignment="1" applyProtection="1">
      <alignment horizontal="center" vertical="top" wrapText="1"/>
      <protection locked="0"/>
    </xf>
    <xf numFmtId="0" fontId="32" fillId="0" borderId="0" xfId="0" applyFont="1" applyFill="1" applyAlignment="1">
      <alignment horizontal="left" vertical="top" wrapText="1"/>
    </xf>
    <xf numFmtId="0" fontId="40" fillId="0" borderId="0" xfId="0" applyFont="1" applyFill="1" applyAlignment="1">
      <alignment horizontal="left" vertical="top" wrapText="1"/>
    </xf>
    <xf numFmtId="0" fontId="32" fillId="0" borderId="11" xfId="0" applyFont="1" applyFill="1" applyBorder="1" applyAlignment="1">
      <alignment vertical="center"/>
    </xf>
    <xf numFmtId="0" fontId="34" fillId="0" borderId="12" xfId="0" applyFont="1" applyBorder="1" applyAlignment="1">
      <alignment horizontal="center"/>
    </xf>
    <xf numFmtId="0" fontId="34" fillId="0" borderId="14" xfId="0" applyFont="1" applyBorder="1" applyAlignment="1">
      <alignment horizontal="center"/>
    </xf>
    <xf numFmtId="0" fontId="34" fillId="0" borderId="51" xfId="0" applyFont="1" applyBorder="1" applyAlignment="1">
      <alignment horizontal="center"/>
    </xf>
    <xf numFmtId="0" fontId="77" fillId="29" borderId="115" xfId="0" applyFont="1" applyFill="1" applyBorder="1" applyAlignment="1">
      <alignment horizontal="center"/>
    </xf>
    <xf numFmtId="0" fontId="77" fillId="29" borderId="11" xfId="0" applyFont="1" applyFill="1" applyBorder="1" applyAlignment="1">
      <alignment horizontal="center"/>
    </xf>
    <xf numFmtId="0" fontId="32" fillId="0" borderId="0" xfId="0" applyFont="1" applyFill="1" applyAlignment="1">
      <alignment horizontal="left" vertical="top"/>
    </xf>
    <xf numFmtId="0" fontId="34" fillId="0" borderId="12" xfId="0" applyFont="1" applyBorder="1" applyAlignment="1">
      <alignment horizontal="center" wrapText="1"/>
    </xf>
    <xf numFmtId="0" fontId="34" fillId="0" borderId="14" xfId="0" applyFont="1" applyBorder="1" applyAlignment="1">
      <alignment horizontal="center" wrapText="1"/>
    </xf>
    <xf numFmtId="0" fontId="34" fillId="0" borderId="51" xfId="0" applyFont="1" applyBorder="1" applyAlignment="1">
      <alignment horizontal="center" wrapText="1"/>
    </xf>
    <xf numFmtId="0" fontId="32" fillId="0" borderId="11" xfId="0" applyFont="1" applyFill="1" applyBorder="1" applyAlignment="1">
      <alignment horizontal="left" vertical="center" wrapText="1"/>
    </xf>
    <xf numFmtId="0" fontId="34" fillId="0" borderId="55" xfId="0" applyFont="1" applyBorder="1" applyAlignment="1">
      <alignment horizontal="center" vertical="center" wrapText="1"/>
    </xf>
    <xf numFmtId="0" fontId="34" fillId="0" borderId="56" xfId="0" applyFont="1" applyBorder="1" applyAlignment="1">
      <alignment horizontal="center" vertical="center" wrapText="1"/>
    </xf>
    <xf numFmtId="0" fontId="34" fillId="0" borderId="57" xfId="0" applyFont="1" applyBorder="1" applyAlignment="1">
      <alignment horizontal="center" vertical="center" wrapText="1"/>
    </xf>
    <xf numFmtId="0" fontId="34" fillId="0" borderId="58"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59" xfId="0" applyFont="1" applyBorder="1" applyAlignment="1">
      <alignment horizontal="center" vertical="center" wrapText="1"/>
    </xf>
    <xf numFmtId="0" fontId="34" fillId="0" borderId="114" xfId="0" applyFont="1" applyBorder="1" applyAlignment="1">
      <alignment horizontal="center" vertical="center" wrapText="1"/>
    </xf>
    <xf numFmtId="0" fontId="34" fillId="0" borderId="115" xfId="0" applyFont="1" applyBorder="1" applyAlignment="1">
      <alignment horizontal="center" vertical="center" wrapText="1"/>
    </xf>
    <xf numFmtId="0" fontId="34" fillId="0" borderId="116" xfId="0" applyFont="1" applyBorder="1" applyAlignment="1">
      <alignment horizontal="center" vertical="center" wrapText="1"/>
    </xf>
    <xf numFmtId="0" fontId="32" fillId="0" borderId="12" xfId="0" applyFont="1" applyFill="1" applyBorder="1" applyAlignment="1">
      <alignment horizontal="left" vertical="center" wrapText="1"/>
    </xf>
    <xf numFmtId="0" fontId="32" fillId="0" borderId="14" xfId="0" applyFont="1" applyFill="1" applyBorder="1" applyAlignment="1">
      <alignment horizontal="left" vertical="center" wrapText="1"/>
    </xf>
    <xf numFmtId="0" fontId="32" fillId="0" borderId="51" xfId="0" applyFont="1" applyFill="1" applyBorder="1" applyAlignment="1">
      <alignment horizontal="left" vertical="center" wrapText="1"/>
    </xf>
    <xf numFmtId="0" fontId="32" fillId="0" borderId="0" xfId="0" applyFont="1" applyAlignment="1">
      <alignment horizontal="left" vertical="top" wrapText="1"/>
    </xf>
    <xf numFmtId="49" fontId="32" fillId="0" borderId="0" xfId="0" applyNumberFormat="1" applyFont="1" applyAlignment="1">
      <alignment horizontal="center" vertical="top" wrapText="1"/>
    </xf>
    <xf numFmtId="49" fontId="27" fillId="0" borderId="0" xfId="138" applyNumberFormat="1" applyAlignment="1" applyProtection="1">
      <alignment horizontal="center" vertical="top" wrapText="1"/>
      <protection locked="0"/>
    </xf>
    <xf numFmtId="49" fontId="32" fillId="0" borderId="0" xfId="0" applyNumberFormat="1" applyFont="1" applyAlignment="1" applyProtection="1">
      <alignment horizontal="center" vertical="top" wrapText="1"/>
      <protection locked="0"/>
    </xf>
    <xf numFmtId="0" fontId="40" fillId="0" borderId="0" xfId="0" applyFont="1" applyAlignment="1">
      <alignment horizontal="left" vertical="center" wrapText="1"/>
    </xf>
    <xf numFmtId="0" fontId="42" fillId="0" borderId="0" xfId="0" applyFont="1" applyAlignment="1">
      <alignment horizontal="left" vertical="center" wrapText="1"/>
    </xf>
    <xf numFmtId="0" fontId="32" fillId="0" borderId="0" xfId="0" applyFont="1" applyAlignment="1">
      <alignment horizontal="left" vertical="top"/>
    </xf>
    <xf numFmtId="0" fontId="40" fillId="0" borderId="0" xfId="0" applyFont="1" applyAlignment="1">
      <alignment horizontal="left" vertical="top" wrapText="1"/>
    </xf>
    <xf numFmtId="0" fontId="38" fillId="22" borderId="63" xfId="0" applyFont="1" applyFill="1" applyBorder="1" applyAlignment="1">
      <alignment horizontal="center" vertical="top"/>
    </xf>
    <xf numFmtId="0" fontId="38" fillId="22" borderId="64" xfId="0" applyFont="1" applyFill="1" applyBorder="1" applyAlignment="1">
      <alignment horizontal="center" vertical="top"/>
    </xf>
    <xf numFmtId="0" fontId="38" fillId="22" borderId="26" xfId="0" applyFont="1" applyFill="1" applyBorder="1" applyAlignment="1">
      <alignment horizontal="center" vertical="top"/>
    </xf>
    <xf numFmtId="0" fontId="121" fillId="0" borderId="30" xfId="0" applyFont="1" applyBorder="1" applyAlignment="1">
      <alignment horizontal="left"/>
    </xf>
    <xf numFmtId="0" fontId="121" fillId="0" borderId="0" xfId="0" applyFont="1" applyBorder="1" applyAlignment="1">
      <alignment horizontal="left"/>
    </xf>
    <xf numFmtId="0" fontId="121" fillId="0" borderId="23" xfId="0" applyFont="1" applyBorder="1" applyAlignment="1">
      <alignment horizontal="left"/>
    </xf>
    <xf numFmtId="0" fontId="52" fillId="26" borderId="29" xfId="0" applyFont="1" applyFill="1" applyBorder="1" applyAlignment="1">
      <alignment horizontal="center"/>
    </xf>
    <xf numFmtId="0" fontId="52" fillId="26" borderId="25" xfId="0" applyFont="1" applyFill="1" applyBorder="1" applyAlignment="1">
      <alignment horizontal="center"/>
    </xf>
    <xf numFmtId="0" fontId="52" fillId="26" borderId="22" xfId="0" applyFont="1" applyFill="1" applyBorder="1" applyAlignment="1">
      <alignment horizontal="center"/>
    </xf>
    <xf numFmtId="0" fontId="35" fillId="22" borderId="12" xfId="0" applyFont="1" applyFill="1" applyBorder="1" applyAlignment="1">
      <alignment horizontal="left" vertical="center" wrapText="1"/>
    </xf>
    <xf numFmtId="0" fontId="35" fillId="22" borderId="14" xfId="0" applyFont="1" applyFill="1" applyBorder="1" applyAlignment="1">
      <alignment horizontal="left" vertical="center" wrapText="1"/>
    </xf>
    <xf numFmtId="0" fontId="35" fillId="22" borderId="51" xfId="0" applyFont="1" applyFill="1" applyBorder="1" applyAlignment="1">
      <alignment horizontal="left" vertical="center" wrapText="1"/>
    </xf>
    <xf numFmtId="0" fontId="37" fillId="22" borderId="11" xfId="0" applyFont="1" applyFill="1" applyBorder="1" applyAlignment="1">
      <alignment horizontal="center"/>
    </xf>
    <xf numFmtId="0" fontId="63" fillId="19" borderId="77" xfId="0" applyFont="1" applyFill="1" applyBorder="1" applyAlignment="1">
      <alignment horizontal="center"/>
    </xf>
    <xf numFmtId="0" fontId="63" fillId="19" borderId="34" xfId="0" applyFont="1" applyFill="1" applyBorder="1" applyAlignment="1">
      <alignment horizontal="center"/>
    </xf>
    <xf numFmtId="0" fontId="63" fillId="19" borderId="17" xfId="0" applyFont="1" applyFill="1" applyBorder="1" applyAlignment="1">
      <alignment horizontal="center"/>
    </xf>
    <xf numFmtId="0" fontId="49" fillId="0" borderId="3" xfId="0" applyFont="1" applyFill="1" applyBorder="1" applyAlignment="1">
      <alignment horizontal="center" vertical="center"/>
    </xf>
    <xf numFmtId="0" fontId="49" fillId="0" borderId="100" xfId="0" applyFont="1" applyFill="1" applyBorder="1" applyAlignment="1">
      <alignment horizontal="center" vertical="center"/>
    </xf>
    <xf numFmtId="0" fontId="49" fillId="0" borderId="79" xfId="0" applyFont="1" applyFill="1" applyBorder="1" applyAlignment="1">
      <alignment horizontal="center" vertical="center"/>
    </xf>
    <xf numFmtId="0" fontId="49" fillId="0" borderId="116" xfId="0" applyFont="1" applyFill="1" applyBorder="1" applyAlignment="1">
      <alignment horizontal="center" vertical="center"/>
    </xf>
    <xf numFmtId="0" fontId="52" fillId="28" borderId="77" xfId="0" applyFont="1" applyFill="1" applyBorder="1" applyAlignment="1">
      <alignment horizontal="center"/>
    </xf>
    <xf numFmtId="0" fontId="52" fillId="28" borderId="69" xfId="0" applyFont="1" applyFill="1" applyBorder="1" applyAlignment="1">
      <alignment horizontal="center"/>
    </xf>
    <xf numFmtId="3" fontId="35" fillId="22" borderId="32" xfId="0" applyNumberFormat="1" applyFont="1" applyFill="1" applyBorder="1" applyAlignment="1">
      <alignment horizontal="center" wrapText="1"/>
    </xf>
    <xf numFmtId="3" fontId="35" fillId="22" borderId="51" xfId="0" applyNumberFormat="1" applyFont="1" applyFill="1" applyBorder="1" applyAlignment="1">
      <alignment horizontal="center" wrapText="1"/>
    </xf>
    <xf numFmtId="0" fontId="41" fillId="0" borderId="102" xfId="0" applyFont="1" applyBorder="1" applyAlignment="1">
      <alignment horizontal="center"/>
    </xf>
    <xf numFmtId="0" fontId="41" fillId="0" borderId="103" xfId="0" applyFont="1" applyBorder="1" applyAlignment="1">
      <alignment horizontal="center"/>
    </xf>
    <xf numFmtId="0" fontId="41" fillId="0" borderId="104" xfId="0" applyFont="1" applyBorder="1" applyAlignment="1">
      <alignment horizontal="center"/>
    </xf>
    <xf numFmtId="0" fontId="39" fillId="0" borderId="6" xfId="0" applyFont="1" applyBorder="1" applyAlignment="1">
      <alignment horizontal="left" vertical="center"/>
    </xf>
    <xf numFmtId="0" fontId="39" fillId="0" borderId="0" xfId="0" applyFont="1" applyBorder="1" applyAlignment="1">
      <alignment horizontal="left" vertical="center"/>
    </xf>
    <xf numFmtId="0" fontId="39" fillId="0" borderId="8" xfId="0" applyFont="1" applyBorder="1" applyAlignment="1">
      <alignment horizontal="left" vertical="center" wrapText="1"/>
    </xf>
    <xf numFmtId="0" fontId="39" fillId="0" borderId="9" xfId="0" applyFont="1" applyBorder="1" applyAlignment="1">
      <alignment horizontal="left" vertical="center" wrapText="1"/>
    </xf>
    <xf numFmtId="0" fontId="49" fillId="5" borderId="9" xfId="0" applyFont="1" applyFill="1" applyBorder="1" applyAlignment="1">
      <alignment horizontal="left"/>
    </xf>
    <xf numFmtId="0" fontId="40" fillId="5" borderId="6" xfId="0" applyFont="1" applyFill="1" applyBorder="1" applyAlignment="1">
      <alignment horizontal="left" vertical="center" wrapText="1"/>
    </xf>
    <xf numFmtId="0" fontId="40" fillId="5" borderId="0" xfId="0" applyFont="1" applyFill="1" applyBorder="1" applyAlignment="1">
      <alignment horizontal="left" vertical="center" wrapText="1"/>
    </xf>
    <xf numFmtId="3" fontId="35" fillId="22" borderId="83" xfId="0" applyNumberFormat="1" applyFont="1" applyFill="1" applyBorder="1" applyAlignment="1">
      <alignment horizontal="center" wrapText="1"/>
    </xf>
    <xf numFmtId="3" fontId="35" fillId="22" borderId="85" xfId="0" applyNumberFormat="1" applyFont="1" applyFill="1" applyBorder="1" applyAlignment="1">
      <alignment horizontal="center" wrapText="1"/>
    </xf>
    <xf numFmtId="0" fontId="52" fillId="25" borderId="77" xfId="0" applyFont="1" applyFill="1" applyBorder="1" applyAlignment="1">
      <alignment horizontal="center"/>
    </xf>
    <xf numFmtId="0" fontId="52" fillId="25" borderId="69" xfId="0" applyFont="1" applyFill="1" applyBorder="1" applyAlignment="1">
      <alignment horizontal="center"/>
    </xf>
    <xf numFmtId="0" fontId="56" fillId="5" borderId="0" xfId="0" applyFont="1" applyFill="1" applyBorder="1" applyAlignment="1">
      <alignment horizontal="left" vertical="center" wrapText="1"/>
    </xf>
    <xf numFmtId="0" fontId="52" fillId="20" borderId="29" xfId="0" applyFont="1" applyFill="1" applyBorder="1" applyAlignment="1">
      <alignment horizontal="center"/>
    </xf>
    <xf numFmtId="0" fontId="52" fillId="20" borderId="25" xfId="0" applyFont="1" applyFill="1" applyBorder="1" applyAlignment="1">
      <alignment horizontal="center"/>
    </xf>
    <xf numFmtId="0" fontId="52" fillId="20" borderId="22" xfId="0" applyFont="1" applyFill="1" applyBorder="1" applyAlignment="1">
      <alignment horizontal="center"/>
    </xf>
    <xf numFmtId="0" fontId="65" fillId="0" borderId="6" xfId="0" applyFont="1" applyBorder="1" applyAlignment="1">
      <alignment horizontal="left" wrapText="1"/>
    </xf>
    <xf numFmtId="0" fontId="39" fillId="0" borderId="0" xfId="0" applyFont="1" applyBorder="1" applyAlignment="1">
      <alignment horizontal="left" wrapText="1"/>
    </xf>
    <xf numFmtId="0" fontId="65" fillId="0" borderId="6" xfId="0" applyFont="1" applyBorder="1" applyAlignment="1">
      <alignment horizontal="left"/>
    </xf>
    <xf numFmtId="0" fontId="65" fillId="0" borderId="0" xfId="0" applyFont="1" applyBorder="1" applyAlignment="1">
      <alignment horizontal="left"/>
    </xf>
    <xf numFmtId="0" fontId="32" fillId="0" borderId="0" xfId="0" applyFont="1" applyBorder="1" applyAlignment="1">
      <alignment horizontal="left" wrapText="1"/>
    </xf>
    <xf numFmtId="0" fontId="32" fillId="0" borderId="8" xfId="0" applyFont="1" applyBorder="1" applyAlignment="1">
      <alignment horizontal="left" wrapText="1"/>
    </xf>
    <xf numFmtId="0" fontId="32" fillId="0" borderId="9" xfId="0" applyFont="1" applyBorder="1" applyAlignment="1">
      <alignment horizontal="left" wrapText="1"/>
    </xf>
    <xf numFmtId="0" fontId="52" fillId="20" borderId="109" xfId="0" applyFont="1" applyFill="1" applyBorder="1" applyAlignment="1">
      <alignment horizontal="center"/>
    </xf>
    <xf numFmtId="0" fontId="52" fillId="20" borderId="66" xfId="0" applyFont="1" applyFill="1" applyBorder="1" applyAlignment="1">
      <alignment horizontal="center"/>
    </xf>
    <xf numFmtId="0" fontId="52" fillId="20" borderId="110" xfId="0" applyFont="1" applyFill="1" applyBorder="1" applyAlignment="1">
      <alignment horizontal="center"/>
    </xf>
    <xf numFmtId="0" fontId="46" fillId="0" borderId="102" xfId="0" applyFont="1" applyFill="1" applyBorder="1" applyAlignment="1">
      <alignment horizontal="center"/>
    </xf>
    <xf numFmtId="0" fontId="46" fillId="0" borderId="103" xfId="0" applyFont="1" applyFill="1" applyBorder="1" applyAlignment="1">
      <alignment horizontal="center"/>
    </xf>
    <xf numFmtId="0" fontId="46" fillId="0" borderId="104" xfId="0" applyFont="1" applyFill="1" applyBorder="1" applyAlignment="1">
      <alignment horizontal="center"/>
    </xf>
    <xf numFmtId="0" fontId="123" fillId="0" borderId="6" xfId="0" applyFont="1" applyFill="1" applyBorder="1" applyAlignment="1"/>
    <xf numFmtId="0" fontId="123" fillId="0" borderId="0" xfId="0" applyFont="1" applyFill="1" applyBorder="1" applyAlignment="1"/>
    <xf numFmtId="0" fontId="32" fillId="5" borderId="0" xfId="0" applyFont="1" applyFill="1" applyBorder="1" applyAlignment="1">
      <alignment horizontal="left" vertical="center" wrapText="1"/>
    </xf>
    <xf numFmtId="0" fontId="49" fillId="0" borderId="9" xfId="0" applyFont="1" applyFill="1" applyBorder="1" applyAlignment="1">
      <alignment horizontal="left"/>
    </xf>
    <xf numFmtId="0" fontId="49" fillId="0" borderId="0" xfId="0" applyFont="1" applyFill="1" applyBorder="1" applyAlignment="1">
      <alignment horizontal="left"/>
    </xf>
    <xf numFmtId="0" fontId="53" fillId="0" borderId="31" xfId="0" applyFont="1" applyFill="1" applyBorder="1" applyAlignment="1">
      <alignment horizontal="center" vertical="center"/>
    </xf>
    <xf numFmtId="0" fontId="53" fillId="0" borderId="34" xfId="0" applyFont="1" applyFill="1" applyBorder="1" applyAlignment="1">
      <alignment horizontal="center" vertical="center"/>
    </xf>
    <xf numFmtId="0" fontId="53" fillId="0" borderId="32" xfId="0" applyFont="1" applyFill="1" applyBorder="1" applyAlignment="1">
      <alignment horizontal="center" vertical="center"/>
    </xf>
    <xf numFmtId="0" fontId="53" fillId="0" borderId="14" xfId="0" applyFont="1" applyFill="1" applyBorder="1" applyAlignment="1">
      <alignment horizontal="center" vertical="center"/>
    </xf>
    <xf numFmtId="0" fontId="77" fillId="25" borderId="34" xfId="0" applyFont="1" applyFill="1" applyBorder="1" applyAlignment="1">
      <alignment horizontal="center"/>
    </xf>
    <xf numFmtId="0" fontId="77" fillId="28" borderId="34" xfId="0" applyFont="1" applyFill="1" applyBorder="1" applyAlignment="1">
      <alignment horizontal="center"/>
    </xf>
    <xf numFmtId="0" fontId="53" fillId="19" borderId="34" xfId="0" applyFont="1" applyFill="1" applyBorder="1" applyAlignment="1">
      <alignment horizontal="center"/>
    </xf>
    <xf numFmtId="0" fontId="53" fillId="19" borderId="17" xfId="0" applyFont="1" applyFill="1" applyBorder="1" applyAlignment="1">
      <alignment horizontal="center"/>
    </xf>
    <xf numFmtId="0" fontId="46" fillId="0" borderId="30" xfId="0" applyFont="1" applyBorder="1" applyAlignment="1">
      <alignment horizontal="center"/>
    </xf>
    <xf numFmtId="0" fontId="46" fillId="0" borderId="0" xfId="0" applyFont="1" applyBorder="1" applyAlignment="1">
      <alignment horizontal="center"/>
    </xf>
    <xf numFmtId="0" fontId="46" fillId="0" borderId="23" xfId="0" applyFont="1" applyBorder="1" applyAlignment="1">
      <alignment horizontal="center"/>
    </xf>
    <xf numFmtId="3" fontId="61" fillId="22" borderId="13" xfId="0" applyNumberFormat="1" applyFont="1" applyFill="1" applyBorder="1" applyAlignment="1">
      <alignment horizontal="center" wrapText="1"/>
    </xf>
    <xf numFmtId="3" fontId="61" fillId="22" borderId="11" xfId="0" applyNumberFormat="1" applyFont="1" applyFill="1" applyBorder="1" applyAlignment="1">
      <alignment horizontal="center" wrapText="1"/>
    </xf>
    <xf numFmtId="3" fontId="61" fillId="22" borderId="38" xfId="0" applyNumberFormat="1" applyFont="1" applyFill="1" applyBorder="1" applyAlignment="1">
      <alignment horizontal="center" wrapText="1"/>
    </xf>
    <xf numFmtId="3" fontId="61" fillId="22" borderId="39" xfId="0" applyNumberFormat="1" applyFont="1" applyFill="1" applyBorder="1" applyAlignment="1">
      <alignment horizontal="center" wrapText="1"/>
    </xf>
    <xf numFmtId="3" fontId="40" fillId="22" borderId="13" xfId="0" applyNumberFormat="1" applyFont="1" applyFill="1" applyBorder="1" applyAlignment="1">
      <alignment horizontal="center" wrapText="1"/>
    </xf>
    <xf numFmtId="3" fontId="40" fillId="22" borderId="11" xfId="0" applyNumberFormat="1" applyFont="1" applyFill="1" applyBorder="1" applyAlignment="1">
      <alignment horizontal="center" wrapText="1"/>
    </xf>
    <xf numFmtId="3" fontId="40" fillId="22" borderId="38" xfId="0" applyNumberFormat="1" applyFont="1" applyFill="1" applyBorder="1" applyAlignment="1">
      <alignment horizontal="center" wrapText="1"/>
    </xf>
    <xf numFmtId="3" fontId="40" fillId="22" borderId="39" xfId="0" applyNumberFormat="1" applyFont="1" applyFill="1" applyBorder="1" applyAlignment="1">
      <alignment horizontal="center" wrapText="1"/>
    </xf>
    <xf numFmtId="3" fontId="35" fillId="22" borderId="13" xfId="0" applyNumberFormat="1" applyFont="1" applyFill="1" applyBorder="1" applyAlignment="1">
      <alignment horizontal="center" wrapText="1"/>
    </xf>
    <xf numFmtId="3" fontId="35" fillId="22" borderId="11" xfId="0" applyNumberFormat="1" applyFont="1" applyFill="1" applyBorder="1" applyAlignment="1">
      <alignment horizontal="center" wrapText="1"/>
    </xf>
    <xf numFmtId="0" fontId="52" fillId="20" borderId="106" xfId="0" applyFont="1" applyFill="1" applyBorder="1" applyAlignment="1">
      <alignment horizontal="center"/>
    </xf>
    <xf numFmtId="0" fontId="52" fillId="20" borderId="56" xfId="0" applyFont="1" applyFill="1" applyBorder="1" applyAlignment="1">
      <alignment horizontal="center"/>
    </xf>
    <xf numFmtId="0" fontId="41" fillId="0" borderId="102" xfId="0" applyFont="1" applyFill="1" applyBorder="1" applyAlignment="1">
      <alignment horizontal="center"/>
    </xf>
    <xf numFmtId="0" fontId="41" fillId="0" borderId="103" xfId="0" applyFont="1" applyFill="1" applyBorder="1" applyAlignment="1">
      <alignment horizontal="center"/>
    </xf>
    <xf numFmtId="0" fontId="41" fillId="0" borderId="104" xfId="0" applyFont="1" applyFill="1" applyBorder="1" applyAlignment="1">
      <alignment horizontal="center"/>
    </xf>
    <xf numFmtId="0" fontId="80" fillId="0" borderId="6" xfId="0" applyFont="1" applyBorder="1" applyAlignment="1">
      <alignment horizontal="left" wrapText="1"/>
    </xf>
    <xf numFmtId="0" fontId="80" fillId="0" borderId="0" xfId="0" applyFont="1" applyBorder="1" applyAlignment="1">
      <alignment horizontal="left" wrapText="1"/>
    </xf>
    <xf numFmtId="0" fontId="40" fillId="5" borderId="6" xfId="0" applyFont="1" applyFill="1" applyBorder="1" applyAlignment="1">
      <alignment horizontal="left" vertical="center"/>
    </xf>
    <xf numFmtId="0" fontId="40" fillId="5" borderId="0" xfId="0" applyFont="1" applyFill="1" applyBorder="1" applyAlignment="1">
      <alignment horizontal="left" vertical="center"/>
    </xf>
    <xf numFmtId="0" fontId="35" fillId="0" borderId="6" xfId="0" applyFont="1" applyBorder="1" applyAlignment="1">
      <alignment horizontal="left" wrapText="1"/>
    </xf>
    <xf numFmtId="0" fontId="35" fillId="0" borderId="0" xfId="0" applyFont="1" applyBorder="1" applyAlignment="1">
      <alignment horizontal="left" wrapText="1"/>
    </xf>
    <xf numFmtId="0" fontId="40" fillId="5" borderId="6" xfId="0" applyFont="1" applyFill="1" applyBorder="1" applyAlignment="1">
      <alignment horizontal="right" vertical="center" wrapText="1"/>
    </xf>
    <xf numFmtId="0" fontId="40" fillId="5" borderId="0" xfId="0" applyFont="1" applyFill="1" applyBorder="1" applyAlignment="1">
      <alignment horizontal="right" vertical="center" wrapText="1"/>
    </xf>
    <xf numFmtId="0" fontId="52" fillId="28" borderId="35" xfId="0" applyFont="1" applyFill="1" applyBorder="1" applyAlignment="1">
      <alignment horizontal="center"/>
    </xf>
    <xf numFmtId="0" fontId="52" fillId="25" borderId="35" xfId="0" applyFont="1" applyFill="1" applyBorder="1" applyAlignment="1">
      <alignment horizontal="center"/>
    </xf>
    <xf numFmtId="0" fontId="49" fillId="0" borderId="62" xfId="0" applyFont="1" applyFill="1" applyBorder="1" applyAlignment="1">
      <alignment horizontal="center" vertical="center"/>
    </xf>
    <xf numFmtId="0" fontId="41" fillId="0" borderId="30" xfId="0" applyFont="1" applyBorder="1" applyAlignment="1">
      <alignment horizontal="center"/>
    </xf>
    <xf numFmtId="0" fontId="41" fillId="0" borderId="0" xfId="0" applyFont="1" applyBorder="1" applyAlignment="1">
      <alignment horizontal="center"/>
    </xf>
    <xf numFmtId="0" fontId="41" fillId="0" borderId="23" xfId="0" applyFont="1" applyBorder="1" applyAlignment="1">
      <alignment horizontal="center"/>
    </xf>
    <xf numFmtId="0" fontId="63" fillId="19" borderId="35" xfId="0" applyFont="1" applyFill="1" applyBorder="1" applyAlignment="1">
      <alignment horizontal="center"/>
    </xf>
    <xf numFmtId="0" fontId="63" fillId="19" borderId="36" xfId="0" applyFont="1" applyFill="1" applyBorder="1" applyAlignment="1">
      <alignment horizontal="center"/>
    </xf>
    <xf numFmtId="0" fontId="41" fillId="0" borderId="30" xfId="0" applyFont="1" applyFill="1" applyBorder="1" applyAlignment="1">
      <alignment horizontal="center"/>
    </xf>
    <xf numFmtId="0" fontId="41" fillId="0" borderId="0" xfId="0" applyFont="1" applyFill="1" applyBorder="1" applyAlignment="1">
      <alignment horizontal="center"/>
    </xf>
    <xf numFmtId="0" fontId="41" fillId="0" borderId="23" xfId="0" applyFont="1" applyFill="1" applyBorder="1" applyAlignment="1">
      <alignment horizontal="center"/>
    </xf>
    <xf numFmtId="0" fontId="52" fillId="23" borderId="9" xfId="0" applyFont="1" applyFill="1" applyBorder="1" applyAlignment="1">
      <alignment horizontal="center"/>
    </xf>
    <xf numFmtId="0" fontId="52" fillId="23" borderId="80" xfId="0" applyFont="1" applyFill="1" applyBorder="1" applyAlignment="1">
      <alignment horizontal="center"/>
    </xf>
    <xf numFmtId="0" fontId="45" fillId="24" borderId="0" xfId="0" applyFont="1" applyFill="1" applyBorder="1" applyAlignment="1" applyProtection="1">
      <alignment horizontal="left" vertical="center" wrapText="1"/>
    </xf>
    <xf numFmtId="3" fontId="40" fillId="22" borderId="32" xfId="0" applyNumberFormat="1" applyFont="1" applyFill="1" applyBorder="1" applyAlignment="1">
      <alignment horizontal="center" vertical="center" wrapText="1"/>
    </xf>
    <xf numFmtId="3" fontId="40" fillId="22" borderId="14" xfId="0" applyNumberFormat="1" applyFont="1" applyFill="1" applyBorder="1" applyAlignment="1">
      <alignment horizontal="center" vertical="center" wrapText="1"/>
    </xf>
    <xf numFmtId="0" fontId="52" fillId="25" borderId="35" xfId="0" applyFont="1" applyFill="1" applyBorder="1" applyAlignment="1">
      <alignment horizontal="center" vertical="center"/>
    </xf>
    <xf numFmtId="0" fontId="52" fillId="28" borderId="35" xfId="0" applyFont="1" applyFill="1" applyBorder="1" applyAlignment="1">
      <alignment horizontal="center" vertical="center"/>
    </xf>
    <xf numFmtId="0" fontId="49" fillId="18" borderId="35" xfId="0" applyFont="1" applyFill="1" applyBorder="1" applyAlignment="1">
      <alignment horizontal="center" vertical="center"/>
    </xf>
    <xf numFmtId="0" fontId="49" fillId="18" borderId="36" xfId="0" applyFont="1" applyFill="1" applyBorder="1" applyAlignment="1">
      <alignment horizontal="center" vertical="center"/>
    </xf>
    <xf numFmtId="0" fontId="49" fillId="0" borderId="4" xfId="0" applyFont="1" applyFill="1" applyBorder="1" applyAlignment="1">
      <alignment horizontal="center" vertical="center"/>
    </xf>
    <xf numFmtId="0" fontId="49" fillId="0" borderId="103" xfId="0" applyFont="1" applyFill="1" applyBorder="1" applyAlignment="1">
      <alignment horizontal="center" vertical="center"/>
    </xf>
    <xf numFmtId="0" fontId="39" fillId="0" borderId="6" xfId="0" applyFont="1" applyBorder="1" applyAlignment="1"/>
    <xf numFmtId="0" fontId="39" fillId="0" borderId="0" xfId="0" applyFont="1" applyBorder="1" applyAlignment="1"/>
    <xf numFmtId="3" fontId="35" fillId="22" borderId="32" xfId="0" applyNumberFormat="1" applyFont="1" applyFill="1" applyBorder="1" applyAlignment="1">
      <alignment horizontal="center" vertical="center" wrapText="1"/>
    </xf>
    <xf numFmtId="3" fontId="35" fillId="22" borderId="14" xfId="0" applyNumberFormat="1" applyFont="1" applyFill="1" applyBorder="1" applyAlignment="1">
      <alignment horizontal="center" vertical="center" wrapText="1"/>
    </xf>
    <xf numFmtId="0" fontId="40" fillId="0" borderId="6" xfId="0" applyFont="1" applyFill="1" applyBorder="1" applyAlignment="1">
      <alignment vertical="center"/>
    </xf>
    <xf numFmtId="0" fontId="40" fillId="0" borderId="0" xfId="0" applyFont="1" applyFill="1" applyBorder="1" applyAlignment="1">
      <alignment vertical="center"/>
    </xf>
    <xf numFmtId="0" fontId="40" fillId="0" borderId="6" xfId="0" applyFont="1" applyFill="1" applyBorder="1" applyAlignment="1"/>
    <xf numFmtId="0" fontId="40" fillId="0" borderId="0" xfId="0" applyFont="1" applyFill="1" applyBorder="1" applyAlignment="1"/>
    <xf numFmtId="0" fontId="32" fillId="0" borderId="6" xfId="0" applyFont="1" applyBorder="1" applyAlignment="1">
      <alignment wrapText="1"/>
    </xf>
    <xf numFmtId="0" fontId="32" fillId="0" borderId="0" xfId="0" applyFont="1" applyBorder="1" applyAlignment="1">
      <alignment wrapText="1"/>
    </xf>
    <xf numFmtId="0" fontId="39" fillId="0" borderId="6" xfId="0" applyFont="1" applyBorder="1" applyAlignment="1">
      <alignment vertical="center"/>
    </xf>
    <xf numFmtId="0" fontId="39" fillId="0" borderId="0" xfId="0" applyFont="1" applyBorder="1" applyAlignment="1">
      <alignment vertical="center"/>
    </xf>
    <xf numFmtId="0" fontId="40" fillId="5" borderId="0" xfId="0" applyFont="1" applyFill="1" applyBorder="1" applyAlignment="1">
      <alignment horizontal="center" vertical="center" wrapText="1"/>
    </xf>
    <xf numFmtId="3" fontId="40" fillId="22" borderId="83" xfId="0" applyNumberFormat="1" applyFont="1" applyFill="1" applyBorder="1" applyAlignment="1">
      <alignment horizontal="center" vertical="center" wrapText="1"/>
    </xf>
    <xf numFmtId="3" fontId="40" fillId="22" borderId="70" xfId="0" applyNumberFormat="1" applyFont="1" applyFill="1" applyBorder="1" applyAlignment="1">
      <alignment horizontal="center" vertical="center" wrapText="1"/>
    </xf>
    <xf numFmtId="0" fontId="53" fillId="0" borderId="53" xfId="0" applyFont="1" applyFill="1" applyBorder="1" applyAlignment="1">
      <alignment horizontal="left"/>
    </xf>
    <xf numFmtId="0" fontId="39" fillId="0" borderId="8" xfId="0" applyFont="1" applyBorder="1" applyAlignment="1">
      <alignment wrapText="1"/>
    </xf>
    <xf numFmtId="0" fontId="39" fillId="0" borderId="9" xfId="0" applyFont="1" applyBorder="1" applyAlignment="1">
      <alignment wrapText="1"/>
    </xf>
    <xf numFmtId="0" fontId="53" fillId="0" borderId="42" xfId="0" applyFont="1" applyFill="1" applyBorder="1" applyAlignment="1">
      <alignment horizontal="left"/>
    </xf>
    <xf numFmtId="0" fontId="32" fillId="18" borderId="12" xfId="0" applyFont="1" applyFill="1" applyBorder="1" applyAlignment="1">
      <alignment horizontal="center" vertical="top"/>
    </xf>
    <xf numFmtId="0" fontId="32" fillId="18" borderId="14" xfId="0" applyFont="1" applyFill="1" applyBorder="1" applyAlignment="1">
      <alignment horizontal="center" vertical="top"/>
    </xf>
    <xf numFmtId="0" fontId="32" fillId="18" borderId="51" xfId="0" applyFont="1" applyFill="1" applyBorder="1" applyAlignment="1">
      <alignment horizontal="center" vertical="top"/>
    </xf>
    <xf numFmtId="0" fontId="32" fillId="18" borderId="12" xfId="0" applyFont="1" applyFill="1" applyBorder="1" applyAlignment="1">
      <alignment horizontal="center" vertical="center"/>
    </xf>
    <xf numFmtId="0" fontId="32" fillId="18" borderId="14" xfId="0" applyFont="1" applyFill="1" applyBorder="1" applyAlignment="1">
      <alignment horizontal="center" vertical="center"/>
    </xf>
    <xf numFmtId="0" fontId="32" fillId="18" borderId="51" xfId="0" applyFont="1" applyFill="1" applyBorder="1" applyAlignment="1">
      <alignment horizontal="center" vertical="center"/>
    </xf>
    <xf numFmtId="0" fontId="34" fillId="19" borderId="12" xfId="0" applyFont="1" applyFill="1" applyBorder="1" applyAlignment="1">
      <alignment horizontal="center" vertical="top" wrapText="1"/>
    </xf>
    <xf numFmtId="0" fontId="34" fillId="19" borderId="14" xfId="0" applyFont="1" applyFill="1" applyBorder="1" applyAlignment="1">
      <alignment horizontal="center" vertical="top" wrapText="1"/>
    </xf>
    <xf numFmtId="0" fontId="34" fillId="19" borderId="51" xfId="0" applyFont="1" applyFill="1" applyBorder="1" applyAlignment="1">
      <alignment horizontal="center" vertical="top" wrapText="1"/>
    </xf>
    <xf numFmtId="0" fontId="53" fillId="0" borderId="14" xfId="0" applyFont="1" applyBorder="1" applyAlignment="1">
      <alignment horizontal="center" vertical="top"/>
    </xf>
    <xf numFmtId="0" fontId="32" fillId="0" borderId="11" xfId="0" applyFont="1" applyBorder="1" applyAlignment="1">
      <alignment horizontal="left" vertical="top" wrapText="1"/>
    </xf>
    <xf numFmtId="0" fontId="77" fillId="26" borderId="11" xfId="0" applyFont="1" applyFill="1" applyBorder="1" applyAlignment="1">
      <alignment horizontal="center" vertical="center" wrapText="1"/>
    </xf>
    <xf numFmtId="0" fontId="52" fillId="25" borderId="0" xfId="0" applyFont="1" applyFill="1" applyAlignment="1">
      <alignment horizontal="center" vertical="top"/>
    </xf>
    <xf numFmtId="0" fontId="49" fillId="0" borderId="0" xfId="0" applyFont="1" applyFill="1" applyBorder="1" applyAlignment="1">
      <alignment horizontal="center"/>
    </xf>
    <xf numFmtId="0" fontId="77" fillId="26" borderId="58" xfId="0" applyFont="1" applyFill="1" applyBorder="1" applyAlignment="1">
      <alignment horizontal="center" vertical="center" wrapText="1"/>
    </xf>
    <xf numFmtId="0" fontId="77" fillId="26" borderId="96" xfId="0" applyFont="1" applyFill="1" applyBorder="1" applyAlignment="1">
      <alignment horizontal="center" vertical="center" wrapText="1"/>
    </xf>
    <xf numFmtId="0" fontId="40" fillId="5" borderId="6" xfId="0" applyFont="1" applyFill="1" applyBorder="1" applyAlignment="1">
      <alignment horizontal="left" wrapText="1"/>
    </xf>
    <xf numFmtId="0" fontId="40" fillId="5" borderId="0" xfId="0" applyFont="1" applyFill="1" applyBorder="1" applyAlignment="1">
      <alignment horizontal="left" wrapText="1"/>
    </xf>
    <xf numFmtId="0" fontId="32" fillId="0" borderId="6" xfId="0" applyFont="1" applyBorder="1" applyAlignment="1">
      <alignment horizontal="left" vertical="center"/>
    </xf>
    <xf numFmtId="0" fontId="39" fillId="0" borderId="6" xfId="0" applyFont="1" applyBorder="1" applyAlignment="1">
      <alignment horizontal="left" wrapText="1"/>
    </xf>
    <xf numFmtId="0" fontId="87" fillId="5" borderId="14" xfId="138" applyFont="1" applyFill="1" applyBorder="1" applyAlignment="1">
      <alignment horizontal="center" vertical="center" wrapText="1"/>
    </xf>
    <xf numFmtId="0" fontId="87" fillId="5" borderId="18" xfId="138" applyFont="1" applyFill="1" applyBorder="1" applyAlignment="1">
      <alignment horizontal="center" vertical="center" wrapText="1"/>
    </xf>
    <xf numFmtId="4" fontId="40" fillId="22" borderId="103" xfId="0" applyNumberFormat="1" applyFont="1" applyFill="1" applyBorder="1" applyAlignment="1">
      <alignment horizontal="center" wrapText="1"/>
    </xf>
    <xf numFmtId="4" fontId="40" fillId="22" borderId="95" xfId="0" applyNumberFormat="1" applyFont="1" applyFill="1" applyBorder="1" applyAlignment="1">
      <alignment horizontal="center" wrapText="1"/>
    </xf>
    <xf numFmtId="0" fontId="40" fillId="22" borderId="14" xfId="0" applyFont="1" applyFill="1" applyBorder="1" applyAlignment="1">
      <alignment horizontal="center"/>
    </xf>
    <xf numFmtId="0" fontId="40" fillId="22" borderId="18" xfId="0" applyFont="1" applyFill="1" applyBorder="1" applyAlignment="1">
      <alignment horizontal="center"/>
    </xf>
    <xf numFmtId="0" fontId="45" fillId="5" borderId="14" xfId="0" applyFont="1" applyFill="1" applyBorder="1" applyAlignment="1">
      <alignment horizontal="center" wrapText="1"/>
    </xf>
    <xf numFmtId="0" fontId="45" fillId="5" borderId="18" xfId="0" applyFont="1" applyFill="1" applyBorder="1" applyAlignment="1">
      <alignment horizontal="center" wrapText="1"/>
    </xf>
    <xf numFmtId="4" fontId="45" fillId="5" borderId="14" xfId="0" applyNumberFormat="1" applyFont="1" applyFill="1" applyBorder="1" applyAlignment="1">
      <alignment horizontal="center" wrapText="1"/>
    </xf>
    <xf numFmtId="4" fontId="45" fillId="5" borderId="18" xfId="0" applyNumberFormat="1" applyFont="1" applyFill="1" applyBorder="1" applyAlignment="1">
      <alignment horizontal="center" wrapText="1"/>
    </xf>
    <xf numFmtId="0" fontId="49" fillId="19" borderId="3" xfId="0" applyFont="1" applyFill="1" applyBorder="1" applyAlignment="1">
      <alignment horizontal="left"/>
    </xf>
    <xf numFmtId="0" fontId="49" fillId="19" borderId="4" xfId="0" applyFont="1" applyFill="1" applyBorder="1" applyAlignment="1">
      <alignment horizontal="left"/>
    </xf>
    <xf numFmtId="0" fontId="39" fillId="0" borderId="8" xfId="0" applyFont="1" applyBorder="1" applyAlignment="1">
      <alignment horizontal="left" wrapText="1"/>
    </xf>
    <xf numFmtId="0" fontId="39" fillId="0" borderId="9" xfId="0" applyFont="1" applyBorder="1" applyAlignment="1">
      <alignment horizontal="left" wrapText="1"/>
    </xf>
    <xf numFmtId="0" fontId="40" fillId="22" borderId="70" xfId="0" applyFont="1" applyFill="1" applyBorder="1" applyAlignment="1">
      <alignment horizontal="center"/>
    </xf>
    <xf numFmtId="0" fontId="40" fillId="22" borderId="78" xfId="0" applyFont="1" applyFill="1" applyBorder="1" applyAlignment="1">
      <alignment horizontal="center"/>
    </xf>
    <xf numFmtId="4" fontId="35" fillId="22" borderId="11" xfId="0" applyNumberFormat="1" applyFont="1" applyFill="1" applyBorder="1" applyAlignment="1">
      <alignment horizontal="center"/>
    </xf>
    <xf numFmtId="4" fontId="35" fillId="22" borderId="37" xfId="0" applyNumberFormat="1" applyFont="1" applyFill="1" applyBorder="1" applyAlignment="1">
      <alignment horizontal="center"/>
    </xf>
    <xf numFmtId="0" fontId="63" fillId="19" borderId="77" xfId="0" applyFont="1" applyFill="1" applyBorder="1" applyAlignment="1">
      <alignment horizontal="center" vertical="center"/>
    </xf>
    <xf numFmtId="0" fontId="63" fillId="19" borderId="17" xfId="0" applyFont="1" applyFill="1" applyBorder="1" applyAlignment="1">
      <alignment horizontal="center" vertical="center"/>
    </xf>
    <xf numFmtId="0" fontId="49" fillId="0" borderId="16" xfId="0" applyFont="1" applyFill="1" applyBorder="1" applyAlignment="1">
      <alignment horizontal="center"/>
    </xf>
    <xf numFmtId="0" fontId="49" fillId="0" borderId="35" xfId="0" applyFont="1" applyFill="1" applyBorder="1" applyAlignment="1">
      <alignment horizontal="center"/>
    </xf>
    <xf numFmtId="3" fontId="35" fillId="22" borderId="11" xfId="0" applyNumberFormat="1" applyFont="1" applyFill="1" applyBorder="1" applyAlignment="1">
      <alignment horizontal="center"/>
    </xf>
    <xf numFmtId="3" fontId="35" fillId="22" borderId="37" xfId="0" applyNumberFormat="1" applyFont="1" applyFill="1" applyBorder="1" applyAlignment="1">
      <alignment horizontal="center"/>
    </xf>
    <xf numFmtId="3" fontId="35" fillId="22" borderId="13" xfId="0" applyNumberFormat="1" applyFont="1" applyFill="1" applyBorder="1" applyAlignment="1">
      <alignment horizontal="center"/>
    </xf>
    <xf numFmtId="3" fontId="35" fillId="22" borderId="39" xfId="0" applyNumberFormat="1" applyFont="1" applyFill="1" applyBorder="1" applyAlignment="1">
      <alignment horizontal="center"/>
    </xf>
    <xf numFmtId="3" fontId="35" fillId="22" borderId="40" xfId="0" applyNumberFormat="1" applyFont="1" applyFill="1" applyBorder="1" applyAlignment="1">
      <alignment horizontal="center"/>
    </xf>
    <xf numFmtId="3" fontId="35" fillId="22" borderId="38" xfId="0" applyNumberFormat="1" applyFont="1" applyFill="1" applyBorder="1" applyAlignment="1">
      <alignment horizontal="center"/>
    </xf>
    <xf numFmtId="0" fontId="32" fillId="0" borderId="0" xfId="0" applyFont="1" applyBorder="1" applyAlignment="1">
      <alignment horizontal="center"/>
    </xf>
    <xf numFmtId="0" fontId="52" fillId="23" borderId="0" xfId="0" applyFont="1" applyFill="1" applyBorder="1" applyAlignment="1">
      <alignment horizontal="center"/>
    </xf>
    <xf numFmtId="0" fontId="53" fillId="0" borderId="6" xfId="0" applyFont="1" applyFill="1" applyBorder="1" applyAlignment="1">
      <alignment horizontal="left"/>
    </xf>
    <xf numFmtId="0" fontId="53" fillId="0" borderId="0" xfId="0" applyFont="1" applyFill="1" applyBorder="1" applyAlignment="1">
      <alignment horizontal="left"/>
    </xf>
    <xf numFmtId="4" fontId="35" fillId="22" borderId="76" xfId="0" applyNumberFormat="1" applyFont="1" applyFill="1" applyBorder="1" applyAlignment="1">
      <alignment horizontal="center"/>
    </xf>
    <xf numFmtId="4" fontId="35" fillId="22" borderId="85" xfId="0" applyNumberFormat="1" applyFont="1" applyFill="1" applyBorder="1" applyAlignment="1">
      <alignment horizontal="center"/>
    </xf>
    <xf numFmtId="4" fontId="35" fillId="22" borderId="12" xfId="0" applyNumberFormat="1" applyFont="1" applyFill="1" applyBorder="1" applyAlignment="1">
      <alignment horizontal="center"/>
    </xf>
    <xf numFmtId="4" fontId="35" fillId="22" borderId="51" xfId="0" applyNumberFormat="1" applyFont="1" applyFill="1" applyBorder="1" applyAlignment="1">
      <alignment horizontal="center"/>
    </xf>
    <xf numFmtId="0" fontId="63" fillId="19" borderId="69" xfId="0" applyFont="1" applyFill="1" applyBorder="1" applyAlignment="1">
      <alignment horizontal="center"/>
    </xf>
    <xf numFmtId="0" fontId="40" fillId="0" borderId="6" xfId="0" applyFont="1" applyFill="1" applyBorder="1" applyAlignment="1">
      <alignment horizontal="right"/>
    </xf>
    <xf numFmtId="0" fontId="40" fillId="0" borderId="0" xfId="0" applyFont="1" applyFill="1" applyBorder="1" applyAlignment="1">
      <alignment horizontal="right"/>
    </xf>
    <xf numFmtId="0" fontId="41" fillId="0" borderId="102" xfId="0" applyFont="1" applyFill="1" applyBorder="1" applyAlignment="1">
      <alignment horizontal="center" vertical="center"/>
    </xf>
    <xf numFmtId="0" fontId="41" fillId="0" borderId="103" xfId="0" applyFont="1" applyFill="1" applyBorder="1" applyAlignment="1">
      <alignment horizontal="center" vertical="center"/>
    </xf>
    <xf numFmtId="0" fontId="41" fillId="0" borderId="104" xfId="0" applyFont="1" applyFill="1" applyBorder="1" applyAlignment="1">
      <alignment horizontal="center" vertical="center"/>
    </xf>
    <xf numFmtId="0" fontId="40" fillId="0" borderId="6" xfId="0" applyFont="1" applyFill="1" applyBorder="1" applyAlignment="1">
      <alignment horizontal="left" wrapText="1"/>
    </xf>
    <xf numFmtId="0" fontId="40" fillId="0" borderId="0" xfId="0" applyFont="1" applyFill="1" applyBorder="1" applyAlignment="1">
      <alignment horizontal="left" wrapText="1"/>
    </xf>
    <xf numFmtId="0" fontId="40" fillId="0" borderId="6" xfId="94" applyFont="1" applyFill="1" applyBorder="1" applyAlignment="1">
      <alignment horizontal="left" vertical="center" wrapText="1"/>
    </xf>
    <xf numFmtId="0" fontId="40" fillId="0" borderId="0" xfId="94" applyFont="1" applyFill="1" applyBorder="1" applyAlignment="1">
      <alignment horizontal="left" vertical="center" wrapText="1"/>
    </xf>
    <xf numFmtId="0" fontId="40" fillId="0" borderId="6" xfId="0" applyFont="1" applyFill="1" applyBorder="1" applyAlignment="1">
      <alignment horizontal="right" vertical="center"/>
    </xf>
    <xf numFmtId="0" fontId="40" fillId="0" borderId="0" xfId="0" applyFont="1" applyFill="1" applyBorder="1" applyAlignment="1">
      <alignment horizontal="right" vertical="center"/>
    </xf>
    <xf numFmtId="0" fontId="40" fillId="0" borderId="6" xfId="0" applyFont="1" applyFill="1" applyBorder="1" applyAlignment="1">
      <alignment horizontal="right" wrapText="1"/>
    </xf>
    <xf numFmtId="0" fontId="40" fillId="0" borderId="0" xfId="0" applyFont="1" applyFill="1" applyBorder="1" applyAlignment="1">
      <alignment horizontal="right" wrapText="1"/>
    </xf>
    <xf numFmtId="3" fontId="35" fillId="22" borderId="32" xfId="0" applyNumberFormat="1" applyFont="1" applyFill="1" applyBorder="1" applyAlignment="1">
      <alignment horizontal="center"/>
    </xf>
    <xf numFmtId="3" fontId="35" fillId="22" borderId="51" xfId="0" applyNumberFormat="1" applyFont="1" applyFill="1" applyBorder="1" applyAlignment="1">
      <alignment horizontal="center"/>
    </xf>
    <xf numFmtId="3" fontId="35" fillId="22" borderId="83" xfId="0" applyNumberFormat="1" applyFont="1" applyFill="1" applyBorder="1" applyAlignment="1">
      <alignment horizontal="center"/>
    </xf>
    <xf numFmtId="3" fontId="35" fillId="22" borderId="85" xfId="0" applyNumberFormat="1" applyFont="1" applyFill="1" applyBorder="1" applyAlignment="1">
      <alignment horizontal="center"/>
    </xf>
    <xf numFmtId="3" fontId="35" fillId="22" borderId="12" xfId="0" applyNumberFormat="1" applyFont="1" applyFill="1" applyBorder="1" applyAlignment="1">
      <alignment horizontal="center"/>
    </xf>
    <xf numFmtId="2" fontId="32" fillId="22" borderId="12" xfId="0" applyNumberFormat="1" applyFont="1" applyFill="1" applyBorder="1" applyAlignment="1">
      <alignment horizontal="center"/>
    </xf>
    <xf numFmtId="2" fontId="32" fillId="22" borderId="18" xfId="0" applyNumberFormat="1" applyFont="1" applyFill="1" applyBorder="1" applyAlignment="1">
      <alignment horizontal="center"/>
    </xf>
    <xf numFmtId="3" fontId="35" fillId="22" borderId="76" xfId="0" applyNumberFormat="1" applyFont="1" applyFill="1" applyBorder="1" applyAlignment="1">
      <alignment horizontal="center"/>
    </xf>
    <xf numFmtId="2" fontId="32" fillId="22" borderId="76" xfId="0" applyNumberFormat="1" applyFont="1" applyFill="1" applyBorder="1" applyAlignment="1">
      <alignment horizontal="center"/>
    </xf>
    <xf numFmtId="2" fontId="32" fillId="22" borderId="78" xfId="0" applyNumberFormat="1" applyFont="1" applyFill="1" applyBorder="1" applyAlignment="1">
      <alignment horizontal="center"/>
    </xf>
    <xf numFmtId="0" fontId="49" fillId="0" borderId="31" xfId="0" applyFont="1" applyFill="1" applyBorder="1" applyAlignment="1">
      <alignment horizontal="center"/>
    </xf>
    <xf numFmtId="0" fontId="49" fillId="0" borderId="69" xfId="0" applyFont="1" applyFill="1" applyBorder="1" applyAlignment="1">
      <alignment horizontal="center"/>
    </xf>
    <xf numFmtId="0" fontId="40" fillId="0" borderId="6" xfId="0" applyFont="1" applyFill="1" applyBorder="1" applyAlignment="1">
      <alignment horizontal="right" vertical="center" wrapText="1"/>
    </xf>
    <xf numFmtId="0" fontId="40" fillId="0" borderId="0" xfId="0" applyFont="1" applyFill="1" applyBorder="1" applyAlignment="1">
      <alignment horizontal="right" vertical="center" wrapText="1"/>
    </xf>
    <xf numFmtId="0" fontId="45" fillId="0" borderId="7" xfId="94" applyFont="1" applyFill="1" applyBorder="1" applyAlignment="1">
      <alignment horizontal="center" vertical="center" wrapText="1"/>
    </xf>
    <xf numFmtId="0" fontId="45" fillId="0" borderId="65" xfId="94" applyFont="1" applyFill="1" applyBorder="1" applyAlignment="1">
      <alignment horizontal="center" vertical="center" wrapText="1"/>
    </xf>
    <xf numFmtId="0" fontId="53" fillId="0" borderId="6" xfId="0" applyFont="1" applyFill="1" applyBorder="1" applyAlignment="1">
      <alignment horizontal="left" vertical="center"/>
    </xf>
    <xf numFmtId="0" fontId="53" fillId="0" borderId="0" xfId="0" applyFont="1" applyFill="1" applyBorder="1" applyAlignment="1">
      <alignment horizontal="left" vertical="center"/>
    </xf>
    <xf numFmtId="0" fontId="32" fillId="0" borderId="0" xfId="0" applyFont="1" applyBorder="1" applyAlignment="1">
      <alignment horizontal="left" vertical="top" wrapText="1"/>
    </xf>
    <xf numFmtId="0" fontId="40" fillId="0" borderId="6" xfId="0" applyFont="1" applyFill="1" applyBorder="1" applyAlignment="1">
      <alignment horizontal="left"/>
    </xf>
    <xf numFmtId="0" fontId="40" fillId="0" borderId="0" xfId="0" applyFont="1" applyFill="1" applyBorder="1" applyAlignment="1">
      <alignment horizontal="left"/>
    </xf>
    <xf numFmtId="0" fontId="53" fillId="0" borderId="6" xfId="0" applyFont="1" applyFill="1" applyBorder="1" applyAlignment="1">
      <alignment horizontal="right"/>
    </xf>
    <xf numFmtId="0" fontId="53" fillId="0" borderId="0" xfId="0" applyFont="1" applyFill="1" applyBorder="1" applyAlignment="1">
      <alignment horizontal="right"/>
    </xf>
    <xf numFmtId="4" fontId="49" fillId="19" borderId="9" xfId="2" applyNumberFormat="1" applyFont="1" applyFill="1" applyBorder="1" applyAlignment="1">
      <alignment horizontal="right"/>
    </xf>
    <xf numFmtId="0" fontId="53" fillId="0" borderId="6" xfId="94" applyFont="1" applyFill="1" applyBorder="1" applyAlignment="1">
      <alignment horizontal="right" wrapText="1"/>
    </xf>
    <xf numFmtId="0" fontId="53" fillId="0" borderId="0" xfId="94" applyFont="1" applyFill="1" applyBorder="1" applyAlignment="1">
      <alignment horizontal="right" wrapText="1"/>
    </xf>
    <xf numFmtId="4" fontId="49" fillId="19" borderId="4" xfId="2" applyNumberFormat="1" applyFont="1" applyFill="1" applyBorder="1" applyAlignment="1">
      <alignment horizontal="right"/>
    </xf>
    <xf numFmtId="0" fontId="32" fillId="0" borderId="56" xfId="0" applyFont="1" applyBorder="1" applyAlignment="1">
      <alignment horizontal="left" wrapText="1"/>
    </xf>
    <xf numFmtId="0" fontId="53" fillId="19" borderId="11" xfId="2" applyFont="1" applyFill="1" applyBorder="1" applyAlignment="1">
      <alignment vertical="center"/>
    </xf>
    <xf numFmtId="0" fontId="53" fillId="19" borderId="37" xfId="2" applyFont="1" applyFill="1" applyBorder="1" applyAlignment="1">
      <alignment vertical="center"/>
    </xf>
    <xf numFmtId="0" fontId="77" fillId="26" borderId="35" xfId="0" applyFont="1" applyFill="1" applyBorder="1" applyAlignment="1"/>
    <xf numFmtId="0" fontId="77" fillId="26" borderId="36" xfId="0" applyFont="1" applyFill="1" applyBorder="1" applyAlignment="1"/>
    <xf numFmtId="0" fontId="77" fillId="23" borderId="0" xfId="0" applyFont="1" applyFill="1" applyBorder="1" applyAlignment="1">
      <alignment horizontal="center"/>
    </xf>
    <xf numFmtId="0" fontId="53" fillId="19" borderId="11" xfId="94" applyFont="1" applyFill="1" applyBorder="1" applyAlignment="1">
      <alignment horizontal="left" vertical="center" wrapText="1"/>
    </xf>
    <xf numFmtId="0" fontId="95" fillId="19" borderId="11" xfId="94" applyFont="1" applyFill="1" applyBorder="1" applyAlignment="1">
      <alignment horizontal="left" vertical="center" wrapText="1"/>
    </xf>
    <xf numFmtId="0" fontId="40" fillId="0" borderId="11" xfId="94" applyFont="1" applyFill="1" applyBorder="1" applyAlignment="1">
      <alignment horizontal="right" vertical="center" wrapText="1"/>
    </xf>
    <xf numFmtId="0" fontId="40" fillId="0" borderId="11" xfId="94" applyFont="1" applyFill="1" applyBorder="1" applyAlignment="1">
      <alignment horizontal="left" vertical="center" wrapText="1"/>
    </xf>
    <xf numFmtId="0" fontId="40" fillId="0" borderId="12" xfId="94" applyFont="1" applyFill="1" applyBorder="1" applyAlignment="1">
      <alignment horizontal="left" vertical="center" wrapText="1"/>
    </xf>
    <xf numFmtId="0" fontId="40" fillId="0" borderId="51" xfId="94" applyFont="1" applyFill="1" applyBorder="1" applyAlignment="1">
      <alignment horizontal="left" vertical="center" wrapText="1"/>
    </xf>
    <xf numFmtId="0" fontId="40" fillId="0" borderId="114" xfId="0" applyFont="1" applyFill="1" applyBorder="1" applyAlignment="1">
      <alignment horizontal="left" vertical="center"/>
    </xf>
    <xf numFmtId="0" fontId="40" fillId="0" borderId="115" xfId="0" applyFont="1" applyFill="1" applyBorder="1" applyAlignment="1">
      <alignment horizontal="left" vertical="center"/>
    </xf>
    <xf numFmtId="0" fontId="77" fillId="0" borderId="0" xfId="0" applyFont="1" applyFill="1" applyBorder="1" applyAlignment="1">
      <alignment horizontal="center" wrapText="1"/>
    </xf>
    <xf numFmtId="0" fontId="32" fillId="0" borderId="56" xfId="0" applyFont="1" applyBorder="1" applyAlignment="1">
      <alignment horizontal="left" vertical="center" wrapText="1"/>
    </xf>
    <xf numFmtId="0" fontId="32" fillId="0" borderId="57" xfId="0" applyFont="1" applyBorder="1" applyAlignment="1">
      <alignment horizontal="left" vertical="center" wrapText="1"/>
    </xf>
    <xf numFmtId="0" fontId="32" fillId="0" borderId="0" xfId="0" applyFont="1" applyBorder="1" applyAlignment="1">
      <alignment horizontal="left" vertical="center" wrapText="1"/>
    </xf>
    <xf numFmtId="0" fontId="32" fillId="0" borderId="59" xfId="0" applyFont="1" applyBorder="1" applyAlignment="1">
      <alignment horizontal="left" vertical="center" wrapText="1"/>
    </xf>
    <xf numFmtId="0" fontId="32" fillId="0" borderId="115" xfId="0" applyFont="1" applyBorder="1" applyAlignment="1">
      <alignment horizontal="left" vertical="center" wrapText="1"/>
    </xf>
    <xf numFmtId="0" fontId="32" fillId="0" borderId="116" xfId="0" applyFont="1" applyBorder="1" applyAlignment="1">
      <alignment horizontal="left" vertical="center" wrapText="1"/>
    </xf>
    <xf numFmtId="177" fontId="32" fillId="0" borderId="55" xfId="136" applyNumberFormat="1" applyFont="1" applyFill="1" applyBorder="1" applyAlignment="1">
      <alignment horizontal="center" vertical="center"/>
    </xf>
    <xf numFmtId="177" fontId="32" fillId="0" borderId="58" xfId="136" applyNumberFormat="1" applyFont="1" applyFill="1" applyBorder="1" applyAlignment="1">
      <alignment horizontal="center" vertical="center"/>
    </xf>
    <xf numFmtId="177" fontId="32" fillId="0" borderId="114" xfId="136" applyNumberFormat="1" applyFont="1" applyFill="1" applyBorder="1" applyAlignment="1">
      <alignment horizontal="center" vertical="center"/>
    </xf>
    <xf numFmtId="0" fontId="32" fillId="0" borderId="23" xfId="0" applyFont="1" applyBorder="1" applyAlignment="1">
      <alignment horizontal="left" vertical="center" wrapText="1"/>
    </xf>
    <xf numFmtId="0" fontId="52" fillId="28" borderId="19" xfId="0" applyFont="1" applyFill="1" applyBorder="1" applyAlignment="1">
      <alignment horizontal="left"/>
    </xf>
    <xf numFmtId="0" fontId="52" fillId="28" borderId="27" xfId="0" applyFont="1" applyFill="1" applyBorder="1" applyAlignment="1">
      <alignment horizontal="left"/>
    </xf>
    <xf numFmtId="44" fontId="52" fillId="28" borderId="27" xfId="3" applyFont="1" applyFill="1" applyBorder="1" applyAlignment="1">
      <alignment horizontal="center"/>
    </xf>
    <xf numFmtId="44" fontId="52" fillId="28" borderId="20" xfId="3" applyFont="1" applyFill="1" applyBorder="1" applyAlignment="1">
      <alignment horizontal="center"/>
    </xf>
    <xf numFmtId="44" fontId="52" fillId="25" borderId="27" xfId="3" applyNumberFormat="1" applyFont="1" applyFill="1" applyBorder="1" applyAlignment="1">
      <alignment horizontal="center"/>
    </xf>
    <xf numFmtId="44" fontId="52" fillId="25" borderId="20" xfId="3" applyNumberFormat="1" applyFont="1" applyFill="1" applyBorder="1" applyAlignment="1">
      <alignment horizontal="center"/>
    </xf>
    <xf numFmtId="10" fontId="52" fillId="28" borderId="4" xfId="0" applyNumberFormat="1" applyFont="1" applyFill="1" applyBorder="1" applyAlignment="1">
      <alignment horizontal="right"/>
    </xf>
    <xf numFmtId="0" fontId="49" fillId="0" borderId="74" xfId="0" applyFont="1" applyFill="1" applyBorder="1" applyAlignment="1">
      <alignment horizontal="center" wrapText="1"/>
    </xf>
    <xf numFmtId="0" fontId="49" fillId="0" borderId="75" xfId="0" applyFont="1" applyFill="1" applyBorder="1" applyAlignment="1">
      <alignment horizontal="center" wrapText="1"/>
    </xf>
    <xf numFmtId="0" fontId="123" fillId="0" borderId="35" xfId="0" applyFont="1" applyFill="1" applyBorder="1" applyAlignment="1">
      <alignment horizontal="center"/>
    </xf>
    <xf numFmtId="0" fontId="39" fillId="22" borderId="32" xfId="0" applyFont="1" applyFill="1" applyBorder="1" applyAlignment="1">
      <alignment horizontal="center" vertical="center" wrapText="1"/>
    </xf>
    <xf numFmtId="0" fontId="39" fillId="22" borderId="51" xfId="0" applyFont="1" applyFill="1" applyBorder="1" applyAlignment="1">
      <alignment horizontal="center" vertical="center" wrapText="1"/>
    </xf>
    <xf numFmtId="0" fontId="53" fillId="0" borderId="16" xfId="0" applyFont="1" applyFill="1" applyBorder="1" applyAlignment="1">
      <alignment horizontal="center" wrapText="1"/>
    </xf>
    <xf numFmtId="0" fontId="53" fillId="0" borderId="13" xfId="0" applyFont="1" applyFill="1" applyBorder="1" applyAlignment="1">
      <alignment horizontal="center" wrapText="1"/>
    </xf>
    <xf numFmtId="0" fontId="52" fillId="25" borderId="19" xfId="0" applyFont="1" applyFill="1" applyBorder="1" applyAlignment="1">
      <alignment horizontal="left"/>
    </xf>
    <xf numFmtId="0" fontId="52" fillId="25" borderId="27" xfId="0" applyFont="1" applyFill="1" applyBorder="1" applyAlignment="1">
      <alignment horizontal="left"/>
    </xf>
    <xf numFmtId="0" fontId="53" fillId="0" borderId="35" xfId="0" applyFont="1" applyFill="1" applyBorder="1" applyAlignment="1">
      <alignment horizontal="center"/>
    </xf>
    <xf numFmtId="0" fontId="104" fillId="0" borderId="35" xfId="0" applyFont="1" applyFill="1" applyBorder="1" applyAlignment="1">
      <alignment horizontal="center"/>
    </xf>
    <xf numFmtId="0" fontId="77" fillId="28" borderId="81" xfId="0" applyFont="1" applyFill="1" applyBorder="1" applyAlignment="1">
      <alignment horizontal="center" vertical="center" wrapText="1"/>
    </xf>
    <xf numFmtId="0" fontId="77" fillId="28" borderId="82" xfId="0" applyFont="1" applyFill="1" applyBorder="1" applyAlignment="1">
      <alignment horizontal="center" vertical="center" wrapText="1"/>
    </xf>
    <xf numFmtId="0" fontId="52" fillId="25" borderId="81" xfId="0" applyFont="1" applyFill="1" applyBorder="1" applyAlignment="1">
      <alignment horizontal="center" vertical="center" wrapText="1"/>
    </xf>
    <xf numFmtId="0" fontId="52" fillId="25" borderId="82" xfId="0" applyFont="1" applyFill="1" applyBorder="1" applyAlignment="1">
      <alignment horizontal="center" vertical="center" wrapText="1"/>
    </xf>
    <xf numFmtId="0" fontId="49" fillId="0" borderId="77" xfId="0" applyFont="1" applyFill="1" applyBorder="1" applyAlignment="1">
      <alignment horizontal="center"/>
    </xf>
    <xf numFmtId="0" fontId="49" fillId="0" borderId="34" xfId="0" applyFont="1" applyFill="1" applyBorder="1" applyAlignment="1">
      <alignment horizontal="center"/>
    </xf>
    <xf numFmtId="0" fontId="77" fillId="25" borderId="81" xfId="0" applyFont="1" applyFill="1" applyBorder="1" applyAlignment="1">
      <alignment horizontal="center" vertical="center" wrapText="1"/>
    </xf>
    <xf numFmtId="0" fontId="77" fillId="25" borderId="82" xfId="0" applyFont="1" applyFill="1" applyBorder="1" applyAlignment="1">
      <alignment horizontal="center" vertical="center" wrapText="1"/>
    </xf>
    <xf numFmtId="0" fontId="40" fillId="0" borderId="0" xfId="0" applyFont="1" applyBorder="1" applyAlignment="1">
      <alignment horizontal="left" vertical="center" wrapText="1"/>
    </xf>
    <xf numFmtId="0" fontId="101" fillId="22" borderId="14" xfId="0" applyFont="1" applyFill="1" applyBorder="1" applyAlignment="1">
      <alignment horizontal="center" vertical="center" wrapText="1"/>
    </xf>
    <xf numFmtId="0" fontId="101" fillId="22" borderId="18" xfId="0" applyFont="1" applyFill="1" applyBorder="1" applyAlignment="1">
      <alignment horizontal="center" vertical="center" wrapText="1"/>
    </xf>
    <xf numFmtId="0" fontId="102" fillId="0" borderId="14" xfId="0" applyFont="1" applyFill="1" applyBorder="1" applyAlignment="1">
      <alignment horizontal="left" vertical="center" wrapText="1"/>
    </xf>
    <xf numFmtId="0" fontId="102" fillId="0" borderId="18" xfId="0" applyFont="1" applyFill="1" applyBorder="1" applyAlignment="1">
      <alignment horizontal="left" vertical="center" wrapText="1"/>
    </xf>
    <xf numFmtId="3" fontId="35" fillId="0" borderId="0" xfId="0" applyNumberFormat="1" applyFont="1" applyFill="1" applyBorder="1" applyAlignment="1">
      <alignment horizontal="center"/>
    </xf>
    <xf numFmtId="0" fontId="101" fillId="22" borderId="61" xfId="0" applyFont="1" applyFill="1" applyBorder="1" applyAlignment="1">
      <alignment horizontal="center" vertical="center" wrapText="1"/>
    </xf>
    <xf numFmtId="0" fontId="101" fillId="22" borderId="65" xfId="0" applyFont="1" applyFill="1" applyBorder="1" applyAlignment="1">
      <alignment horizontal="center" vertical="center" wrapText="1"/>
    </xf>
    <xf numFmtId="0" fontId="40" fillId="22" borderId="61" xfId="0" applyFont="1" applyFill="1" applyBorder="1" applyAlignment="1">
      <alignment horizontal="center" vertical="center" wrapText="1"/>
    </xf>
    <xf numFmtId="0" fontId="101" fillId="22" borderId="115" xfId="0" applyFont="1" applyFill="1" applyBorder="1" applyAlignment="1">
      <alignment horizontal="center" vertical="center" wrapText="1"/>
    </xf>
    <xf numFmtId="0" fontId="101" fillId="22" borderId="95" xfId="0" applyFont="1" applyFill="1" applyBorder="1" applyAlignment="1">
      <alignment horizontal="center" vertical="center" wrapText="1"/>
    </xf>
    <xf numFmtId="0" fontId="45" fillId="22" borderId="14" xfId="0" applyFont="1" applyFill="1" applyBorder="1" applyAlignment="1">
      <alignment horizontal="left" vertical="center" wrapText="1"/>
    </xf>
    <xf numFmtId="0" fontId="45" fillId="22" borderId="18" xfId="0" applyFont="1" applyFill="1" applyBorder="1" applyAlignment="1">
      <alignment horizontal="left" vertical="center" wrapText="1"/>
    </xf>
    <xf numFmtId="0" fontId="32" fillId="5" borderId="0" xfId="0" applyFont="1" applyFill="1" applyBorder="1" applyAlignment="1">
      <alignment horizontal="left" vertical="center"/>
    </xf>
    <xf numFmtId="0" fontId="32" fillId="0" borderId="0" xfId="0" applyFont="1" applyFill="1" applyBorder="1" applyAlignment="1"/>
    <xf numFmtId="0" fontId="34" fillId="0" borderId="31" xfId="0" applyFont="1" applyFill="1" applyBorder="1" applyAlignment="1">
      <alignment horizontal="center" vertical="center" wrapText="1"/>
    </xf>
    <xf numFmtId="0" fontId="34" fillId="0" borderId="34" xfId="0" applyFont="1" applyFill="1" applyBorder="1" applyAlignment="1">
      <alignment horizontal="center" vertical="center" wrapText="1"/>
    </xf>
    <xf numFmtId="0" fontId="34" fillId="0" borderId="32"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65" fillId="0" borderId="34" xfId="0" applyFont="1" applyFill="1" applyBorder="1" applyAlignment="1">
      <alignment horizontal="center" vertical="center"/>
    </xf>
    <xf numFmtId="0" fontId="65" fillId="0" borderId="69" xfId="0" applyFont="1" applyFill="1" applyBorder="1" applyAlignment="1">
      <alignment horizontal="center" vertical="center"/>
    </xf>
    <xf numFmtId="0" fontId="32" fillId="0" borderId="81" xfId="0" applyFont="1" applyBorder="1" applyAlignment="1">
      <alignment horizontal="center" vertical="center" wrapText="1"/>
    </xf>
    <xf numFmtId="0" fontId="32" fillId="0" borderId="82" xfId="0" applyFont="1" applyBorder="1" applyAlignment="1">
      <alignment horizontal="center" vertical="center" wrapText="1"/>
    </xf>
    <xf numFmtId="0" fontId="77" fillId="0" borderId="0" xfId="0" applyFont="1" applyFill="1" applyBorder="1" applyAlignment="1">
      <alignment horizontal="center"/>
    </xf>
    <xf numFmtId="0" fontId="102" fillId="22" borderId="14" xfId="0" applyFont="1" applyFill="1" applyBorder="1" applyAlignment="1">
      <alignment horizontal="left" vertical="center" wrapText="1"/>
    </xf>
    <xf numFmtId="0" fontId="102" fillId="22" borderId="18" xfId="0" applyFont="1" applyFill="1" applyBorder="1" applyAlignment="1">
      <alignment horizontal="left" vertical="center" wrapText="1"/>
    </xf>
    <xf numFmtId="0" fontId="101" fillId="22" borderId="70" xfId="0" applyFont="1" applyFill="1" applyBorder="1" applyAlignment="1">
      <alignment horizontal="center" vertical="center" wrapText="1"/>
    </xf>
    <xf numFmtId="0" fontId="101" fillId="22" borderId="78"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34" fillId="0" borderId="34" xfId="0" applyFont="1" applyFill="1" applyBorder="1" applyAlignment="1">
      <alignment horizontal="center"/>
    </xf>
    <xf numFmtId="0" fontId="34" fillId="0" borderId="17" xfId="0" applyFont="1" applyFill="1" applyBorder="1" applyAlignment="1">
      <alignment horizontal="center"/>
    </xf>
    <xf numFmtId="0" fontId="35" fillId="0" borderId="8" xfId="0" applyFont="1" applyBorder="1" applyAlignment="1">
      <alignment horizontal="left" wrapText="1"/>
    </xf>
    <xf numFmtId="0" fontId="35" fillId="0" borderId="9" xfId="0" applyFont="1" applyBorder="1" applyAlignment="1">
      <alignment horizontal="left" wrapText="1"/>
    </xf>
    <xf numFmtId="0" fontId="102" fillId="0" borderId="70" xfId="0" applyFont="1" applyFill="1" applyBorder="1" applyAlignment="1">
      <alignment horizontal="left" vertical="center" wrapText="1"/>
    </xf>
    <xf numFmtId="0" fontId="102" fillId="0" borderId="78" xfId="0" applyFont="1" applyFill="1" applyBorder="1" applyAlignment="1">
      <alignment horizontal="left" vertical="center" wrapText="1"/>
    </xf>
    <xf numFmtId="0" fontId="32" fillId="5" borderId="6" xfId="0" applyFont="1" applyFill="1" applyBorder="1" applyAlignment="1">
      <alignment horizontal="left" vertical="center"/>
    </xf>
    <xf numFmtId="0" fontId="32" fillId="5" borderId="6" xfId="0" applyFont="1" applyFill="1" applyBorder="1" applyAlignment="1">
      <alignment horizontal="right" vertical="center" wrapText="1"/>
    </xf>
    <xf numFmtId="0" fontId="32" fillId="5" borderId="0" xfId="0" applyFont="1" applyFill="1" applyBorder="1" applyAlignment="1">
      <alignment horizontal="right" vertical="center" wrapText="1"/>
    </xf>
    <xf numFmtId="0" fontId="40" fillId="0" borderId="6"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32" fillId="0" borderId="6" xfId="0" applyFont="1" applyFill="1" applyBorder="1" applyAlignment="1">
      <alignment horizontal="center" vertical="center"/>
    </xf>
    <xf numFmtId="0" fontId="32" fillId="0" borderId="0" xfId="0" applyFont="1" applyFill="1" applyBorder="1" applyAlignment="1">
      <alignment horizontal="center" vertical="center"/>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2" fillId="0" borderId="0" xfId="0" applyFont="1" applyFill="1" applyBorder="1" applyAlignment="1">
      <alignment wrapText="1"/>
    </xf>
    <xf numFmtId="0" fontId="32" fillId="0" borderId="0" xfId="0" applyFont="1" applyFill="1" applyBorder="1" applyAlignment="1">
      <alignment horizontal="left" wrapText="1"/>
    </xf>
    <xf numFmtId="0" fontId="52" fillId="25" borderId="3" xfId="0" applyFont="1" applyFill="1" applyBorder="1" applyAlignment="1">
      <alignment horizontal="left"/>
    </xf>
    <xf numFmtId="0" fontId="52" fillId="25" borderId="4" xfId="0" applyFont="1" applyFill="1" applyBorder="1" applyAlignment="1">
      <alignment horizontal="left"/>
    </xf>
    <xf numFmtId="0" fontId="35" fillId="5" borderId="4" xfId="0" applyFont="1" applyFill="1" applyBorder="1" applyAlignment="1">
      <alignment horizontal="center" vertical="center"/>
    </xf>
    <xf numFmtId="0" fontId="35" fillId="5" borderId="61" xfId="0" applyFont="1" applyFill="1" applyBorder="1" applyAlignment="1">
      <alignment horizontal="center" vertical="center"/>
    </xf>
    <xf numFmtId="0" fontId="35" fillId="0" borderId="5" xfId="0" applyFont="1" applyFill="1" applyBorder="1" applyAlignment="1">
      <alignment horizontal="center" vertical="center" wrapText="1"/>
    </xf>
    <xf numFmtId="0" fontId="35" fillId="0" borderId="65" xfId="0" applyFont="1" applyFill="1" applyBorder="1" applyAlignment="1">
      <alignment horizontal="center" vertical="center" wrapText="1"/>
    </xf>
    <xf numFmtId="0" fontId="34" fillId="5" borderId="31" xfId="0" applyFont="1" applyFill="1" applyBorder="1" applyAlignment="1">
      <alignment horizontal="center" vertical="center" wrapText="1"/>
    </xf>
    <xf numFmtId="0" fontId="34" fillId="5" borderId="32" xfId="0" applyFont="1" applyFill="1" applyBorder="1" applyAlignment="1">
      <alignment horizontal="center" vertical="center" wrapText="1"/>
    </xf>
    <xf numFmtId="9" fontId="52" fillId="25" borderId="4" xfId="136" applyFont="1" applyFill="1" applyBorder="1" applyAlignment="1">
      <alignment horizontal="center"/>
    </xf>
    <xf numFmtId="0" fontId="107" fillId="0" borderId="0" xfId="0" applyFont="1" applyFill="1" applyBorder="1"/>
    <xf numFmtId="0" fontId="32" fillId="0" borderId="0" xfId="0" applyFont="1" applyFill="1" applyBorder="1"/>
    <xf numFmtId="0" fontId="32" fillId="0" borderId="0" xfId="0" applyFont="1" applyFill="1" applyBorder="1" applyAlignment="1">
      <alignment horizontal="center"/>
    </xf>
    <xf numFmtId="0" fontId="107" fillId="5" borderId="0" xfId="0" applyFont="1" applyFill="1" applyBorder="1"/>
    <xf numFmtId="0" fontId="32" fillId="5" borderId="0" xfId="0" applyFont="1" applyFill="1" applyBorder="1"/>
    <xf numFmtId="10" fontId="34" fillId="19" borderId="4" xfId="136" applyNumberFormat="1" applyFont="1" applyFill="1" applyBorder="1" applyAlignment="1">
      <alignment horizontal="right"/>
    </xf>
    <xf numFmtId="0" fontId="32" fillId="5" borderId="0" xfId="0" applyFont="1" applyFill="1" applyBorder="1" applyAlignment="1">
      <alignment horizontal="center" vertical="center"/>
    </xf>
    <xf numFmtId="0" fontId="32" fillId="5" borderId="0" xfId="0" applyFont="1" applyFill="1" applyBorder="1" applyAlignment="1">
      <alignment horizontal="center"/>
    </xf>
    <xf numFmtId="185" fontId="34" fillId="19" borderId="9" xfId="0" applyNumberFormat="1" applyFont="1" applyFill="1" applyBorder="1" applyAlignment="1">
      <alignment horizontal="right"/>
    </xf>
    <xf numFmtId="0" fontId="63" fillId="19" borderId="19" xfId="0" applyFont="1" applyFill="1" applyBorder="1" applyAlignment="1">
      <alignment horizontal="left"/>
    </xf>
    <xf numFmtId="0" fontId="63" fillId="19" borderId="27" xfId="0" applyFont="1" applyFill="1" applyBorder="1" applyAlignment="1">
      <alignment horizontal="left"/>
    </xf>
    <xf numFmtId="44" fontId="63" fillId="19" borderId="27" xfId="3" applyFont="1" applyFill="1" applyBorder="1" applyAlignment="1">
      <alignment horizontal="center"/>
    </xf>
    <xf numFmtId="44" fontId="63" fillId="19" borderId="20" xfId="3" applyFont="1" applyFill="1" applyBorder="1" applyAlignment="1">
      <alignment horizontal="center"/>
    </xf>
    <xf numFmtId="0" fontId="27" fillId="0" borderId="0" xfId="138"/>
    <xf numFmtId="0" fontId="123" fillId="0" borderId="77" xfId="0" applyFont="1" applyFill="1" applyBorder="1" applyAlignment="1">
      <alignment horizontal="center"/>
    </xf>
    <xf numFmtId="0" fontId="123" fillId="0" borderId="34" xfId="0" applyFont="1" applyFill="1" applyBorder="1" applyAlignment="1">
      <alignment horizontal="center"/>
    </xf>
    <xf numFmtId="0" fontId="123" fillId="0" borderId="69" xfId="0" applyFont="1" applyFill="1" applyBorder="1" applyAlignment="1">
      <alignment horizontal="center"/>
    </xf>
    <xf numFmtId="0" fontId="34" fillId="19" borderId="81" xfId="0" applyFont="1" applyFill="1" applyBorder="1" applyAlignment="1">
      <alignment horizontal="center" vertical="center" wrapText="1"/>
    </xf>
    <xf numFmtId="0" fontId="34" fillId="19" borderId="82" xfId="0" applyFont="1" applyFill="1" applyBorder="1" applyAlignment="1">
      <alignment horizontal="center" vertical="center" wrapText="1"/>
    </xf>
    <xf numFmtId="44" fontId="52" fillId="28" borderId="9" xfId="3" applyFont="1" applyFill="1" applyBorder="1" applyAlignment="1">
      <alignment horizontal="right"/>
    </xf>
    <xf numFmtId="7" fontId="52" fillId="25" borderId="9" xfId="0" applyNumberFormat="1" applyFont="1" applyFill="1" applyBorder="1" applyAlignment="1">
      <alignment horizontal="center"/>
    </xf>
    <xf numFmtId="0" fontId="39" fillId="22" borderId="83" xfId="0" applyFont="1" applyFill="1" applyBorder="1" applyAlignment="1">
      <alignment horizontal="center" vertical="center" wrapText="1"/>
    </xf>
    <xf numFmtId="0" fontId="39" fillId="22" borderId="85" xfId="0" applyFont="1" applyFill="1" applyBorder="1" applyAlignment="1">
      <alignment horizontal="center" vertical="center" wrapText="1"/>
    </xf>
    <xf numFmtId="0" fontId="32" fillId="5" borderId="6" xfId="0" applyFont="1" applyFill="1" applyBorder="1" applyAlignment="1">
      <alignment horizontal="left" vertical="center" wrapText="1"/>
    </xf>
    <xf numFmtId="0" fontId="102" fillId="22" borderId="14" xfId="0" applyFont="1" applyFill="1" applyBorder="1" applyAlignment="1">
      <alignment horizontal="center" vertical="center" wrapText="1"/>
    </xf>
    <xf numFmtId="0" fontId="102" fillId="22" borderId="18" xfId="0" applyFont="1" applyFill="1" applyBorder="1" applyAlignment="1">
      <alignment horizontal="center" vertical="center" wrapText="1"/>
    </xf>
    <xf numFmtId="0" fontId="102" fillId="0" borderId="14" xfId="0" applyFont="1" applyFill="1" applyBorder="1" applyAlignment="1">
      <alignment horizontal="center" vertical="center" wrapText="1"/>
    </xf>
    <xf numFmtId="0" fontId="102" fillId="0" borderId="18" xfId="0" applyFont="1" applyFill="1" applyBorder="1" applyAlignment="1">
      <alignment horizontal="center" vertical="center" wrapText="1"/>
    </xf>
    <xf numFmtId="0" fontId="122" fillId="0" borderId="4" xfId="0" applyFont="1" applyFill="1" applyBorder="1" applyAlignment="1">
      <alignment horizontal="center"/>
    </xf>
    <xf numFmtId="0" fontId="122" fillId="0" borderId="5" xfId="0" applyFont="1" applyFill="1" applyBorder="1" applyAlignment="1">
      <alignment horizontal="center"/>
    </xf>
    <xf numFmtId="0" fontId="35" fillId="0" borderId="6" xfId="0" applyFont="1" applyBorder="1" applyAlignment="1">
      <alignment horizontal="left" vertical="center" wrapText="1"/>
    </xf>
    <xf numFmtId="0" fontId="35" fillId="0" borderId="0" xfId="0" applyFont="1" applyBorder="1" applyAlignment="1">
      <alignment horizontal="left" vertical="center" wrapText="1"/>
    </xf>
    <xf numFmtId="0" fontId="102" fillId="22" borderId="56" xfId="0" applyFont="1" applyFill="1" applyBorder="1" applyAlignment="1">
      <alignment horizontal="center" vertical="center" wrapText="1"/>
    </xf>
    <xf numFmtId="0" fontId="102" fillId="22" borderId="71" xfId="0" applyFont="1" applyFill="1" applyBorder="1" applyAlignment="1">
      <alignment horizontal="center" vertical="center" wrapText="1"/>
    </xf>
    <xf numFmtId="0" fontId="101" fillId="22" borderId="56" xfId="0" applyFont="1" applyFill="1" applyBorder="1" applyAlignment="1">
      <alignment horizontal="center" vertical="center" wrapText="1"/>
    </xf>
    <xf numFmtId="0" fontId="101" fillId="22" borderId="71" xfId="0" applyFont="1" applyFill="1" applyBorder="1" applyAlignment="1">
      <alignment horizontal="center" vertical="center" wrapText="1"/>
    </xf>
    <xf numFmtId="0" fontId="32" fillId="0" borderId="5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94" xfId="0" applyFont="1" applyFill="1" applyBorder="1" applyAlignment="1">
      <alignment horizontal="center" vertical="center" wrapText="1"/>
    </xf>
    <xf numFmtId="0" fontId="32" fillId="0" borderId="56" xfId="0" applyFont="1" applyFill="1" applyBorder="1" applyAlignment="1">
      <alignment horizontal="center" vertical="center"/>
    </xf>
    <xf numFmtId="0" fontId="32" fillId="0" borderId="94" xfId="0" applyFont="1" applyFill="1" applyBorder="1" applyAlignment="1">
      <alignment horizontal="center" vertical="center"/>
    </xf>
    <xf numFmtId="178" fontId="32" fillId="0" borderId="0" xfId="0" applyNumberFormat="1" applyFont="1" applyAlignment="1">
      <alignment horizontal="center"/>
    </xf>
    <xf numFmtId="11" fontId="32" fillId="0" borderId="0" xfId="0" applyNumberFormat="1" applyFont="1" applyAlignment="1">
      <alignment horizontal="center"/>
    </xf>
    <xf numFmtId="0" fontId="32" fillId="0" borderId="0" xfId="0" applyFont="1" applyAlignment="1">
      <alignment horizontal="center"/>
    </xf>
    <xf numFmtId="10" fontId="32" fillId="0" borderId="0" xfId="136" applyNumberFormat="1" applyFont="1" applyAlignment="1">
      <alignment horizontal="center"/>
    </xf>
    <xf numFmtId="0" fontId="77" fillId="26" borderId="66" xfId="0" applyFont="1" applyFill="1" applyBorder="1" applyAlignment="1">
      <alignment horizontal="center"/>
    </xf>
    <xf numFmtId="184" fontId="73" fillId="20" borderId="12" xfId="135" applyNumberFormat="1" applyFont="1" applyFill="1" applyBorder="1" applyAlignment="1">
      <alignment horizontal="center" vertical="center"/>
    </xf>
    <xf numFmtId="184" fontId="73" fillId="20" borderId="51" xfId="135" applyNumberFormat="1" applyFont="1" applyFill="1" applyBorder="1" applyAlignment="1">
      <alignment horizontal="center" vertical="center"/>
    </xf>
    <xf numFmtId="178" fontId="73" fillId="20" borderId="12" xfId="135" applyNumberFormat="1" applyFont="1" applyFill="1" applyBorder="1" applyAlignment="1">
      <alignment horizontal="center" vertical="center"/>
    </xf>
    <xf numFmtId="178" fontId="73" fillId="20" borderId="51" xfId="135" applyNumberFormat="1" applyFont="1" applyFill="1" applyBorder="1" applyAlignment="1">
      <alignment horizontal="center" vertical="center"/>
    </xf>
    <xf numFmtId="0" fontId="32" fillId="0" borderId="14" xfId="0" applyFont="1" applyFill="1" applyBorder="1" applyAlignment="1">
      <alignment wrapText="1"/>
    </xf>
    <xf numFmtId="0" fontId="40" fillId="0" borderId="56" xfId="0" applyFont="1" applyFill="1" applyBorder="1" applyAlignment="1">
      <alignment horizontal="left" vertical="center" wrapText="1"/>
    </xf>
    <xf numFmtId="0" fontId="40" fillId="0" borderId="94" xfId="0" applyFont="1" applyFill="1" applyBorder="1" applyAlignment="1">
      <alignment horizontal="left" vertical="center" wrapText="1"/>
    </xf>
    <xf numFmtId="0" fontId="32" fillId="0" borderId="56" xfId="0" applyFont="1" applyFill="1" applyBorder="1" applyAlignment="1">
      <alignment horizontal="left" wrapText="1"/>
    </xf>
    <xf numFmtId="0" fontId="32" fillId="0" borderId="94" xfId="0" applyFont="1" applyFill="1" applyBorder="1" applyAlignment="1">
      <alignment horizontal="left" wrapText="1"/>
    </xf>
    <xf numFmtId="0" fontId="32" fillId="0" borderId="25" xfId="0" applyFont="1" applyFill="1" applyBorder="1" applyAlignment="1">
      <alignment horizontal="left" wrapText="1"/>
    </xf>
    <xf numFmtId="0" fontId="73" fillId="26" borderId="63" xfId="0" applyFont="1" applyFill="1" applyBorder="1" applyAlignment="1">
      <alignment horizontal="center" vertical="center"/>
    </xf>
    <xf numFmtId="0" fontId="73" fillId="26" borderId="64" xfId="0" applyFont="1" applyFill="1" applyBorder="1" applyAlignment="1">
      <alignment horizontal="center" vertical="center"/>
    </xf>
    <xf numFmtId="0" fontId="73" fillId="26" borderId="26" xfId="0" applyFont="1" applyFill="1" applyBorder="1" applyAlignment="1">
      <alignment horizontal="center" vertical="center"/>
    </xf>
    <xf numFmtId="0" fontId="111" fillId="20" borderId="12" xfId="0" applyFont="1" applyFill="1" applyBorder="1" applyAlignment="1">
      <alignment horizontal="center" vertical="center"/>
    </xf>
    <xf numFmtId="0" fontId="111" fillId="20" borderId="14" xfId="0" applyFont="1" applyFill="1" applyBorder="1" applyAlignment="1">
      <alignment horizontal="center" vertical="center"/>
    </xf>
    <xf numFmtId="0" fontId="111" fillId="20" borderId="51" xfId="0" applyFont="1" applyFill="1" applyBorder="1" applyAlignment="1">
      <alignment horizontal="center" vertical="center"/>
    </xf>
    <xf numFmtId="179" fontId="73" fillId="20" borderId="12" xfId="0" applyNumberFormat="1" applyFont="1" applyFill="1" applyBorder="1" applyAlignment="1">
      <alignment horizontal="center"/>
    </xf>
    <xf numFmtId="179" fontId="73" fillId="20" borderId="51" xfId="0" applyNumberFormat="1" applyFont="1" applyFill="1" applyBorder="1" applyAlignment="1">
      <alignment horizontal="center"/>
    </xf>
    <xf numFmtId="3" fontId="42" fillId="0" borderId="0" xfId="136" applyNumberFormat="1" applyFont="1" applyFill="1" applyBorder="1" applyAlignment="1">
      <alignment horizontal="center" vertical="center"/>
    </xf>
    <xf numFmtId="179" fontId="73" fillId="20" borderId="12" xfId="135" applyNumberFormat="1" applyFont="1" applyFill="1" applyBorder="1" applyAlignment="1">
      <alignment horizontal="center" vertical="center"/>
    </xf>
    <xf numFmtId="179" fontId="73" fillId="20" borderId="51" xfId="135" applyNumberFormat="1" applyFont="1" applyFill="1" applyBorder="1" applyAlignment="1">
      <alignment horizontal="center" vertical="center"/>
    </xf>
    <xf numFmtId="178" fontId="73" fillId="20" borderId="12" xfId="135" applyNumberFormat="1" applyFont="1" applyFill="1" applyBorder="1" applyAlignment="1">
      <alignment horizontal="center"/>
    </xf>
    <xf numFmtId="178" fontId="73" fillId="20" borderId="51" xfId="135" applyNumberFormat="1" applyFont="1" applyFill="1" applyBorder="1" applyAlignment="1">
      <alignment horizontal="center"/>
    </xf>
    <xf numFmtId="0" fontId="32" fillId="0" borderId="14" xfId="0" applyFont="1" applyFill="1" applyBorder="1" applyAlignment="1">
      <alignment vertical="center" wrapText="1"/>
    </xf>
    <xf numFmtId="0" fontId="32" fillId="0" borderId="56"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94" xfId="0" applyFont="1" applyFill="1" applyBorder="1" applyAlignment="1">
      <alignment horizontal="left" vertical="center" wrapText="1"/>
    </xf>
    <xf numFmtId="0" fontId="32" fillId="0" borderId="14" xfId="0" applyFont="1" applyFill="1" applyBorder="1" applyAlignment="1">
      <alignment horizontal="left" wrapText="1"/>
    </xf>
    <xf numFmtId="0" fontId="32" fillId="0" borderId="33" xfId="0" applyFont="1" applyFill="1" applyBorder="1" applyAlignment="1">
      <alignment horizontal="left" vertical="center" wrapText="1"/>
    </xf>
    <xf numFmtId="2" fontId="32" fillId="0" borderId="56" xfId="0" applyNumberFormat="1" applyFont="1" applyFill="1" applyBorder="1" applyAlignment="1">
      <alignment horizontal="center" vertical="center"/>
    </xf>
    <xf numFmtId="2" fontId="32" fillId="0" borderId="0" xfId="0" applyNumberFormat="1" applyFont="1" applyFill="1" applyBorder="1" applyAlignment="1">
      <alignment horizontal="center" vertical="center"/>
    </xf>
    <xf numFmtId="2" fontId="32" fillId="0" borderId="94" xfId="0" applyNumberFormat="1" applyFont="1" applyFill="1" applyBorder="1" applyAlignment="1">
      <alignment horizontal="center" vertical="center"/>
    </xf>
    <xf numFmtId="9" fontId="73" fillId="20" borderId="11" xfId="136" applyFont="1" applyFill="1" applyBorder="1" applyAlignment="1">
      <alignment horizontal="center"/>
    </xf>
    <xf numFmtId="0" fontId="32" fillId="0" borderId="25" xfId="0" applyFont="1" applyFill="1" applyBorder="1" applyAlignment="1">
      <alignment horizontal="center" vertical="center"/>
    </xf>
    <xf numFmtId="0" fontId="41" fillId="5" borderId="103" xfId="0" applyFont="1" applyFill="1" applyBorder="1" applyAlignment="1">
      <alignment horizontal="center" vertical="center"/>
    </xf>
    <xf numFmtId="0" fontId="52" fillId="20" borderId="30" xfId="0" applyFont="1" applyFill="1" applyBorder="1" applyAlignment="1">
      <alignment horizontal="center"/>
    </xf>
    <xf numFmtId="0" fontId="52" fillId="20" borderId="0" xfId="0" applyFont="1" applyFill="1" applyBorder="1" applyAlignment="1">
      <alignment horizontal="center"/>
    </xf>
    <xf numFmtId="0" fontId="52" fillId="20" borderId="23" xfId="0" applyFont="1" applyFill="1" applyBorder="1" applyAlignment="1">
      <alignment horizontal="center"/>
    </xf>
    <xf numFmtId="0" fontId="41" fillId="0" borderId="30"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23" xfId="0" applyFont="1" applyFill="1" applyBorder="1" applyAlignment="1">
      <alignment horizontal="center" vertical="center"/>
    </xf>
    <xf numFmtId="0" fontId="32" fillId="5" borderId="7" xfId="0" applyFont="1" applyFill="1" applyBorder="1" applyAlignment="1">
      <alignment horizontal="center"/>
    </xf>
    <xf numFmtId="0" fontId="32" fillId="0" borderId="7" xfId="0" applyFont="1" applyFill="1" applyBorder="1" applyAlignment="1">
      <alignment horizontal="center"/>
    </xf>
    <xf numFmtId="0" fontId="34" fillId="0" borderId="6" xfId="0" applyFont="1" applyBorder="1" applyAlignment="1">
      <alignment horizontal="right" wrapText="1"/>
    </xf>
    <xf numFmtId="0" fontId="34" fillId="0" borderId="0" xfId="0" applyFont="1" applyBorder="1" applyAlignment="1">
      <alignment horizontal="right" wrapText="1"/>
    </xf>
    <xf numFmtId="0" fontId="87" fillId="22" borderId="94" xfId="138" applyFont="1" applyFill="1" applyBorder="1" applyAlignment="1">
      <alignment horizontal="center"/>
    </xf>
    <xf numFmtId="0" fontId="87" fillId="22" borderId="95" xfId="138" applyFont="1" applyFill="1" applyBorder="1" applyAlignment="1">
      <alignment horizontal="center"/>
    </xf>
    <xf numFmtId="0" fontId="40" fillId="5" borderId="0" xfId="0" applyFont="1" applyFill="1" applyBorder="1" applyAlignment="1">
      <alignment horizontal="left" vertical="top" wrapText="1"/>
    </xf>
    <xf numFmtId="0" fontId="87" fillId="22" borderId="14" xfId="138" applyFont="1" applyFill="1" applyBorder="1" applyAlignment="1">
      <alignment horizontal="center"/>
    </xf>
    <xf numFmtId="0" fontId="87" fillId="22" borderId="18" xfId="138" applyFont="1" applyFill="1" applyBorder="1" applyAlignment="1">
      <alignment horizontal="center"/>
    </xf>
    <xf numFmtId="0" fontId="32" fillId="5" borderId="0" xfId="0" applyFont="1" applyFill="1" applyBorder="1" applyAlignment="1">
      <alignment horizontal="center" vertical="center" wrapText="1"/>
    </xf>
    <xf numFmtId="0" fontId="63" fillId="5" borderId="0" xfId="0" applyFont="1" applyFill="1" applyBorder="1" applyAlignment="1">
      <alignment horizontal="center"/>
    </xf>
    <xf numFmtId="0" fontId="41" fillId="5" borderId="30" xfId="0" applyFont="1" applyFill="1" applyBorder="1" applyAlignment="1">
      <alignment horizontal="center" vertical="center"/>
    </xf>
    <xf numFmtId="0" fontId="41" fillId="5" borderId="0" xfId="0" applyFont="1" applyFill="1" applyBorder="1" applyAlignment="1">
      <alignment horizontal="center" vertical="center"/>
    </xf>
    <xf numFmtId="0" fontId="41" fillId="5" borderId="23" xfId="0" applyFont="1" applyFill="1" applyBorder="1" applyAlignment="1">
      <alignment horizontal="center" vertical="center"/>
    </xf>
    <xf numFmtId="43" fontId="52" fillId="25" borderId="4" xfId="135" applyFont="1" applyFill="1" applyBorder="1" applyAlignment="1">
      <alignment horizontal="center"/>
    </xf>
    <xf numFmtId="43" fontId="52" fillId="25" borderId="9" xfId="135" applyFont="1" applyFill="1" applyBorder="1" applyAlignment="1">
      <alignment horizontal="right"/>
    </xf>
    <xf numFmtId="2" fontId="52" fillId="28" borderId="4" xfId="0" applyNumberFormat="1" applyFont="1" applyFill="1" applyBorder="1" applyAlignment="1">
      <alignment horizontal="right"/>
    </xf>
    <xf numFmtId="43" fontId="52" fillId="28" borderId="9" xfId="135" applyFont="1" applyFill="1" applyBorder="1" applyAlignment="1">
      <alignment horizontal="right"/>
    </xf>
    <xf numFmtId="4" fontId="52" fillId="25" borderId="9" xfId="3" applyNumberFormat="1" applyFont="1" applyFill="1" applyBorder="1" applyAlignment="1">
      <alignment horizontal="right"/>
    </xf>
    <xf numFmtId="185" fontId="52" fillId="28" borderId="9" xfId="0" applyNumberFormat="1" applyFont="1" applyFill="1" applyBorder="1" applyAlignment="1">
      <alignment horizontal="right"/>
    </xf>
    <xf numFmtId="0" fontId="32" fillId="5" borderId="6" xfId="0" applyFont="1" applyFill="1" applyBorder="1" applyAlignment="1">
      <alignment horizontal="left" wrapText="1"/>
    </xf>
    <xf numFmtId="0" fontId="32" fillId="5" borderId="0" xfId="0" applyFont="1" applyFill="1" applyBorder="1" applyAlignment="1">
      <alignment horizontal="left" wrapText="1"/>
    </xf>
    <xf numFmtId="0" fontId="123" fillId="0" borderId="91" xfId="0" applyFont="1" applyFill="1" applyBorder="1" applyAlignment="1">
      <alignment horizontal="left"/>
    </xf>
    <xf numFmtId="0" fontId="34" fillId="0" borderId="14" xfId="0" applyFont="1" applyBorder="1" applyAlignment="1">
      <alignment horizontal="center" vertical="center"/>
    </xf>
    <xf numFmtId="0" fontId="34" fillId="0" borderId="56" xfId="0" applyFont="1" applyBorder="1" applyAlignment="1">
      <alignment horizontal="center" vertical="center"/>
    </xf>
    <xf numFmtId="0" fontId="34" fillId="0" borderId="91" xfId="0" applyFont="1" applyBorder="1" applyAlignment="1">
      <alignment horizontal="center" vertical="center"/>
    </xf>
    <xf numFmtId="0" fontId="40" fillId="5" borderId="14" xfId="0" applyFont="1" applyFill="1" applyBorder="1" applyAlignment="1">
      <alignment horizontal="center"/>
    </xf>
    <xf numFmtId="185" fontId="52" fillId="28" borderId="0" xfId="3" applyNumberFormat="1" applyFont="1" applyFill="1" applyBorder="1" applyAlignment="1">
      <alignment horizontal="right"/>
    </xf>
    <xf numFmtId="185" fontId="52" fillId="28" borderId="9" xfId="3" applyNumberFormat="1" applyFont="1" applyFill="1" applyBorder="1" applyAlignment="1">
      <alignment horizontal="right"/>
    </xf>
    <xf numFmtId="4" fontId="49" fillId="19" borderId="9" xfId="3" applyNumberFormat="1" applyFont="1" applyFill="1" applyBorder="1" applyAlignment="1">
      <alignment horizontal="right"/>
    </xf>
    <xf numFmtId="0" fontId="52" fillId="25" borderId="29" xfId="0" applyFont="1" applyFill="1" applyBorder="1" applyAlignment="1">
      <alignment horizontal="center"/>
    </xf>
    <xf numFmtId="0" fontId="52" fillId="25" borderId="25" xfId="0" applyFont="1" applyFill="1" applyBorder="1" applyAlignment="1">
      <alignment horizontal="center"/>
    </xf>
    <xf numFmtId="0" fontId="52" fillId="25" borderId="22" xfId="0" applyFont="1" applyFill="1" applyBorder="1" applyAlignment="1">
      <alignment horizontal="center"/>
    </xf>
    <xf numFmtId="0" fontId="35" fillId="0" borderId="6" xfId="0" applyFont="1" applyBorder="1" applyAlignment="1">
      <alignment horizontal="left"/>
    </xf>
    <xf numFmtId="0" fontId="35" fillId="0" borderId="0" xfId="0" applyFont="1" applyBorder="1" applyAlignment="1">
      <alignment horizontal="left"/>
    </xf>
    <xf numFmtId="0" fontId="32" fillId="22" borderId="12" xfId="0" applyFont="1" applyFill="1" applyBorder="1" applyAlignment="1" applyProtection="1">
      <alignment horizontal="center"/>
      <protection locked="0"/>
    </xf>
    <xf numFmtId="0" fontId="32" fillId="22" borderId="51" xfId="0" applyFont="1" applyFill="1" applyBorder="1" applyAlignment="1" applyProtection="1">
      <alignment horizontal="center"/>
      <protection locked="0"/>
    </xf>
    <xf numFmtId="0" fontId="53" fillId="18" borderId="12" xfId="0" applyFont="1" applyFill="1" applyBorder="1" applyAlignment="1">
      <alignment horizontal="center" vertical="center"/>
    </xf>
    <xf numFmtId="0" fontId="53" fillId="18" borderId="51" xfId="0" applyFont="1" applyFill="1" applyBorder="1" applyAlignment="1">
      <alignment horizontal="center" vertical="center"/>
    </xf>
    <xf numFmtId="3" fontId="35" fillId="22" borderId="12" xfId="0" applyNumberFormat="1" applyFont="1" applyFill="1" applyBorder="1" applyAlignment="1" applyProtection="1">
      <alignment horizontal="center" vertical="center" wrapText="1"/>
      <protection locked="0"/>
    </xf>
    <xf numFmtId="3" fontId="35" fillId="22" borderId="51" xfId="0" applyNumberFormat="1" applyFont="1" applyFill="1" applyBorder="1" applyAlignment="1" applyProtection="1">
      <alignment horizontal="center" vertical="center" wrapText="1"/>
      <protection locked="0"/>
    </xf>
    <xf numFmtId="0" fontId="49" fillId="0" borderId="55" xfId="0" applyFont="1" applyFill="1" applyBorder="1" applyAlignment="1">
      <alignment horizontal="center" vertical="center"/>
    </xf>
    <xf numFmtId="0" fontId="49" fillId="0" borderId="57" xfId="0" applyFont="1" applyFill="1" applyBorder="1" applyAlignment="1">
      <alignment horizontal="center" vertical="center"/>
    </xf>
    <xf numFmtId="0" fontId="49" fillId="0" borderId="96" xfId="0" applyFont="1" applyFill="1" applyBorder="1" applyAlignment="1">
      <alignment horizontal="center" vertical="center"/>
    </xf>
    <xf numFmtId="0" fontId="52" fillId="28" borderId="12" xfId="0" applyFont="1" applyFill="1" applyBorder="1" applyAlignment="1">
      <alignment horizontal="center" vertical="center"/>
    </xf>
    <xf numFmtId="0" fontId="52" fillId="28" borderId="14" xfId="0" applyFont="1" applyFill="1" applyBorder="1" applyAlignment="1">
      <alignment horizontal="center" vertical="center"/>
    </xf>
    <xf numFmtId="0" fontId="52" fillId="28" borderId="51" xfId="0" applyFont="1" applyFill="1" applyBorder="1" applyAlignment="1">
      <alignment horizontal="center" vertical="center"/>
    </xf>
    <xf numFmtId="0" fontId="140" fillId="5" borderId="0" xfId="0" applyFont="1" applyFill="1" applyBorder="1" applyAlignment="1">
      <alignment horizontal="center" vertical="center" wrapText="1"/>
    </xf>
    <xf numFmtId="185" fontId="77" fillId="28" borderId="9" xfId="0" applyNumberFormat="1" applyFont="1" applyFill="1" applyBorder="1" applyAlignment="1">
      <alignment horizontal="right"/>
    </xf>
    <xf numFmtId="0" fontId="52" fillId="27" borderId="0" xfId="0" applyFont="1" applyFill="1" applyBorder="1" applyAlignment="1">
      <alignment horizontal="center"/>
    </xf>
    <xf numFmtId="0" fontId="34" fillId="21" borderId="15" xfId="0" applyFont="1" applyFill="1" applyBorder="1" applyAlignment="1">
      <alignment horizontal="center" vertical="center" wrapText="1"/>
    </xf>
    <xf numFmtId="0" fontId="34" fillId="21" borderId="19" xfId="0" applyFont="1" applyFill="1" applyBorder="1" applyAlignment="1">
      <alignment horizontal="center" vertical="center" wrapText="1"/>
    </xf>
    <xf numFmtId="0" fontId="34" fillId="21" borderId="27" xfId="0" applyFont="1" applyFill="1" applyBorder="1" applyAlignment="1">
      <alignment horizontal="center" vertical="center" wrapText="1"/>
    </xf>
    <xf numFmtId="0" fontId="34" fillId="21" borderId="20" xfId="0" applyFont="1" applyFill="1" applyBorder="1" applyAlignment="1">
      <alignment horizontal="center" vertical="center" wrapText="1"/>
    </xf>
    <xf numFmtId="0" fontId="140" fillId="21" borderId="15" xfId="0" applyFont="1" applyFill="1" applyBorder="1" applyAlignment="1">
      <alignment horizontal="center" vertical="center" wrapText="1"/>
    </xf>
    <xf numFmtId="0" fontId="140" fillId="21" borderId="19" xfId="0" applyFont="1" applyFill="1" applyBorder="1" applyAlignment="1">
      <alignment horizontal="center" vertical="center" wrapText="1"/>
    </xf>
    <xf numFmtId="0" fontId="140" fillId="21" borderId="27" xfId="0" applyFont="1" applyFill="1" applyBorder="1" applyAlignment="1">
      <alignment horizontal="center" vertical="center" wrapText="1"/>
    </xf>
    <xf numFmtId="0" fontId="140" fillId="21" borderId="20" xfId="0" applyFont="1" applyFill="1" applyBorder="1" applyAlignment="1">
      <alignment horizontal="center" vertical="center" wrapText="1"/>
    </xf>
    <xf numFmtId="0" fontId="72" fillId="20" borderId="11" xfId="0" applyFont="1" applyFill="1" applyBorder="1" applyAlignment="1">
      <alignment horizontal="center"/>
    </xf>
    <xf numFmtId="0" fontId="119" fillId="0" borderId="94" xfId="0" applyFont="1" applyBorder="1" applyAlignment="1">
      <alignment horizontal="center"/>
    </xf>
  </cellXfs>
  <cellStyles count="150">
    <cellStyle name="2x indented GHG Textfiels" xfId="4" xr:uid="{00000000-0005-0000-0000-000000000000}"/>
    <cellStyle name="40% - Ênfase3 2" xfId="5" xr:uid="{00000000-0005-0000-0000-000001000000}"/>
    <cellStyle name="40% - Ênfase3 2 2" xfId="6" xr:uid="{00000000-0005-0000-0000-000002000000}"/>
    <cellStyle name="40% - Ênfase3 3" xfId="7" xr:uid="{00000000-0005-0000-0000-000003000000}"/>
    <cellStyle name="5x indented GHG Textfiels" xfId="8" xr:uid="{00000000-0005-0000-0000-000004000000}"/>
    <cellStyle name="Biomassa" xfId="9" xr:uid="{00000000-0005-0000-0000-000005000000}"/>
    <cellStyle name="Bold GHG Numbers (0.00)" xfId="10" xr:uid="{00000000-0005-0000-0000-000006000000}"/>
    <cellStyle name="Comma 10" xfId="11" xr:uid="{00000000-0005-0000-0000-000007000000}"/>
    <cellStyle name="Comma 11" xfId="12" xr:uid="{00000000-0005-0000-0000-000008000000}"/>
    <cellStyle name="Comma 11 2" xfId="13" xr:uid="{00000000-0005-0000-0000-000009000000}"/>
    <cellStyle name="Comma 12" xfId="14" xr:uid="{00000000-0005-0000-0000-00000A000000}"/>
    <cellStyle name="Comma 12 2" xfId="15" xr:uid="{00000000-0005-0000-0000-00000B000000}"/>
    <cellStyle name="Comma 13" xfId="16" xr:uid="{00000000-0005-0000-0000-00000C000000}"/>
    <cellStyle name="Comma 13 2" xfId="17" xr:uid="{00000000-0005-0000-0000-00000D000000}"/>
    <cellStyle name="Comma 14" xfId="18" xr:uid="{00000000-0005-0000-0000-00000E000000}"/>
    <cellStyle name="Comma 15" xfId="19" xr:uid="{00000000-0005-0000-0000-00000F000000}"/>
    <cellStyle name="Comma 16" xfId="20" xr:uid="{00000000-0005-0000-0000-000010000000}"/>
    <cellStyle name="Comma 17" xfId="21" xr:uid="{00000000-0005-0000-0000-000011000000}"/>
    <cellStyle name="Comma 2" xfId="22" xr:uid="{00000000-0005-0000-0000-000012000000}"/>
    <cellStyle name="Comma 2 2" xfId="23" xr:uid="{00000000-0005-0000-0000-000013000000}"/>
    <cellStyle name="Comma 3" xfId="24" xr:uid="{00000000-0005-0000-0000-000014000000}"/>
    <cellStyle name="Comma 3 2" xfId="25" xr:uid="{00000000-0005-0000-0000-000015000000}"/>
    <cellStyle name="Comma 4" xfId="26" xr:uid="{00000000-0005-0000-0000-000016000000}"/>
    <cellStyle name="Comma 4 2" xfId="27" xr:uid="{00000000-0005-0000-0000-000017000000}"/>
    <cellStyle name="Comma 5" xfId="28" xr:uid="{00000000-0005-0000-0000-000018000000}"/>
    <cellStyle name="Comma 6" xfId="29" xr:uid="{00000000-0005-0000-0000-000019000000}"/>
    <cellStyle name="Comma 7" xfId="30" xr:uid="{00000000-0005-0000-0000-00001A000000}"/>
    <cellStyle name="Comma 8" xfId="31" xr:uid="{00000000-0005-0000-0000-00001B000000}"/>
    <cellStyle name="Comma 9" xfId="32" xr:uid="{00000000-0005-0000-0000-00001C000000}"/>
    <cellStyle name="Comma0" xfId="33" xr:uid="{00000000-0005-0000-0000-00001D000000}"/>
    <cellStyle name="Corner heading" xfId="34" xr:uid="{00000000-0005-0000-0000-00001E000000}"/>
    <cellStyle name="Currency 10" xfId="35" xr:uid="{00000000-0005-0000-0000-00001F000000}"/>
    <cellStyle name="Currency 11" xfId="36" xr:uid="{00000000-0005-0000-0000-000020000000}"/>
    <cellStyle name="Currency 12" xfId="37" xr:uid="{00000000-0005-0000-0000-000021000000}"/>
    <cellStyle name="Currency 12 2" xfId="38" xr:uid="{00000000-0005-0000-0000-000022000000}"/>
    <cellStyle name="Currency 13" xfId="39" xr:uid="{00000000-0005-0000-0000-000023000000}"/>
    <cellStyle name="Currency 13 2" xfId="40" xr:uid="{00000000-0005-0000-0000-000024000000}"/>
    <cellStyle name="Currency 14" xfId="41" xr:uid="{00000000-0005-0000-0000-000025000000}"/>
    <cellStyle name="Currency 14 2" xfId="42" xr:uid="{00000000-0005-0000-0000-000026000000}"/>
    <cellStyle name="Currency 15" xfId="43" xr:uid="{00000000-0005-0000-0000-000027000000}"/>
    <cellStyle name="Currency 15 2" xfId="44" xr:uid="{00000000-0005-0000-0000-000028000000}"/>
    <cellStyle name="Currency 2" xfId="45" xr:uid="{00000000-0005-0000-0000-000029000000}"/>
    <cellStyle name="Currency 2 2" xfId="46" xr:uid="{00000000-0005-0000-0000-00002A000000}"/>
    <cellStyle name="Currency 3" xfId="47" xr:uid="{00000000-0005-0000-0000-00002B000000}"/>
    <cellStyle name="Currency 3 2" xfId="48" xr:uid="{00000000-0005-0000-0000-00002C000000}"/>
    <cellStyle name="Currency 4" xfId="49" xr:uid="{00000000-0005-0000-0000-00002D000000}"/>
    <cellStyle name="Currency 4 2" xfId="50" xr:uid="{00000000-0005-0000-0000-00002E000000}"/>
    <cellStyle name="Currency 5" xfId="51" xr:uid="{00000000-0005-0000-0000-00002F000000}"/>
    <cellStyle name="Currency 5 2" xfId="52" xr:uid="{00000000-0005-0000-0000-000030000000}"/>
    <cellStyle name="Currency 6" xfId="53" xr:uid="{00000000-0005-0000-0000-000031000000}"/>
    <cellStyle name="Currency 7" xfId="54" xr:uid="{00000000-0005-0000-0000-000032000000}"/>
    <cellStyle name="Currency 8" xfId="55" xr:uid="{00000000-0005-0000-0000-000033000000}"/>
    <cellStyle name="Currency 9" xfId="56" xr:uid="{00000000-0005-0000-0000-000034000000}"/>
    <cellStyle name="Currency0" xfId="57" xr:uid="{00000000-0005-0000-0000-000035000000}"/>
    <cellStyle name="Data" xfId="58" xr:uid="{00000000-0005-0000-0000-000036000000}"/>
    <cellStyle name="Data no deci" xfId="59" xr:uid="{00000000-0005-0000-0000-000037000000}"/>
    <cellStyle name="Data Superscript" xfId="60" xr:uid="{00000000-0005-0000-0000-000038000000}"/>
    <cellStyle name="Data_1-1A-Regular" xfId="61" xr:uid="{00000000-0005-0000-0000-000039000000}"/>
    <cellStyle name="Data-one deci" xfId="62" xr:uid="{00000000-0005-0000-0000-00003A000000}"/>
    <cellStyle name="Date" xfId="63" xr:uid="{00000000-0005-0000-0000-00003B000000}"/>
    <cellStyle name="Editáveis" xfId="64" xr:uid="{00000000-0005-0000-0000-00003C000000}"/>
    <cellStyle name="Entrada" xfId="1" builtinId="20"/>
    <cellStyle name="Escopo 1" xfId="65" xr:uid="{00000000-0005-0000-0000-00003E000000}"/>
    <cellStyle name="Escopo 2" xfId="66" xr:uid="{00000000-0005-0000-0000-00003F000000}"/>
    <cellStyle name="Escopo 3" xfId="67" xr:uid="{00000000-0005-0000-0000-000040000000}"/>
    <cellStyle name="Escopos somados" xfId="68" xr:uid="{00000000-0005-0000-0000-000041000000}"/>
    <cellStyle name="Euro" xfId="69" xr:uid="{00000000-0005-0000-0000-000042000000}"/>
    <cellStyle name="Exemplo" xfId="70" xr:uid="{00000000-0005-0000-0000-000043000000}"/>
    <cellStyle name="Fixed" xfId="71" xr:uid="{00000000-0005-0000-0000-000044000000}"/>
    <cellStyle name="Headline" xfId="72" xr:uid="{00000000-0005-0000-0000-000045000000}"/>
    <cellStyle name="Hed Side" xfId="73" xr:uid="{00000000-0005-0000-0000-000046000000}"/>
    <cellStyle name="Hed Side bold" xfId="74" xr:uid="{00000000-0005-0000-0000-000047000000}"/>
    <cellStyle name="Hed Side Indent" xfId="75" xr:uid="{00000000-0005-0000-0000-000048000000}"/>
    <cellStyle name="Hed Side Regular" xfId="76" xr:uid="{00000000-0005-0000-0000-000049000000}"/>
    <cellStyle name="Hed Side_1-1A-Regular" xfId="77" xr:uid="{00000000-0005-0000-0000-00004A000000}"/>
    <cellStyle name="Hed Top" xfId="78" xr:uid="{00000000-0005-0000-0000-00004B000000}"/>
    <cellStyle name="Hed Top - SECTION" xfId="79" xr:uid="{00000000-0005-0000-0000-00004C000000}"/>
    <cellStyle name="Hed Top_3-new4" xfId="80" xr:uid="{00000000-0005-0000-0000-00004D000000}"/>
    <cellStyle name="Hiperlink" xfId="138" builtinId="8"/>
    <cellStyle name="Hiperlink Visitado" xfId="139" builtinId="9" hidden="1"/>
    <cellStyle name="Hiperlink Visitado" xfId="140" builtinId="9" hidden="1"/>
    <cellStyle name="Hiperlink Visitado" xfId="141" builtinId="9" hidden="1"/>
    <cellStyle name="Hiperlink Visitado" xfId="142" builtinId="9" hidden="1"/>
    <cellStyle name="Hiperlink Visitado" xfId="143" builtinId="9" hidden="1"/>
    <cellStyle name="Hiperlink Visitado" xfId="144" builtinId="9" hidden="1"/>
    <cellStyle name="Hiperlink Visitado" xfId="145" builtinId="9" hidden="1"/>
    <cellStyle name="Hiperlink Visitado" xfId="146" builtinId="9" hidden="1"/>
    <cellStyle name="Hiperlink Visitado" xfId="147" builtinId="9" hidden="1"/>
    <cellStyle name="Hiperlink Visitado" xfId="148" builtinId="9" hidden="1"/>
    <cellStyle name="Hiperlink Visitado" xfId="149" builtinId="9" hidden="1"/>
    <cellStyle name="Hyperlink 2" xfId="81" xr:uid="{00000000-0005-0000-0000-00005A000000}"/>
    <cellStyle name="Hyperlink 3" xfId="82" xr:uid="{00000000-0005-0000-0000-00005B000000}"/>
    <cellStyle name="Hyperlink 4" xfId="137" xr:uid="{00000000-0005-0000-0000-00005C000000}"/>
    <cellStyle name="Milliers [0]_Annex_comb_guideline_version4-2" xfId="83" xr:uid="{00000000-0005-0000-0000-00005D000000}"/>
    <cellStyle name="Milliers_Annex_comb_guideline_version4-2" xfId="84" xr:uid="{00000000-0005-0000-0000-00005E000000}"/>
    <cellStyle name="Moeda" xfId="3" builtinId="4"/>
    <cellStyle name="Moeda 2" xfId="85" xr:uid="{00000000-0005-0000-0000-000060000000}"/>
    <cellStyle name="Monétaire [0]_Annex comb guideline 4-7" xfId="86" xr:uid="{00000000-0005-0000-0000-000061000000}"/>
    <cellStyle name="Monétaire_Annex_comb_guideline_version4-2" xfId="87" xr:uid="{00000000-0005-0000-0000-000062000000}"/>
    <cellStyle name="Normal" xfId="0" builtinId="0"/>
    <cellStyle name="Normal 2" xfId="88" xr:uid="{00000000-0005-0000-0000-000064000000}"/>
    <cellStyle name="Normal 2 2" xfId="89" xr:uid="{00000000-0005-0000-0000-000065000000}"/>
    <cellStyle name="Normal 3" xfId="90" xr:uid="{00000000-0005-0000-0000-000066000000}"/>
    <cellStyle name="Normal 3 2" xfId="91" xr:uid="{00000000-0005-0000-0000-000067000000}"/>
    <cellStyle name="Normal 4" xfId="92" xr:uid="{00000000-0005-0000-0000-000068000000}"/>
    <cellStyle name="Normal 4 2" xfId="93" xr:uid="{00000000-0005-0000-0000-000069000000}"/>
    <cellStyle name="Normal 5" xfId="94" xr:uid="{00000000-0005-0000-0000-00006A000000}"/>
    <cellStyle name="Normal 5 2" xfId="95" xr:uid="{00000000-0005-0000-0000-00006B000000}"/>
    <cellStyle name="Normal 6" xfId="96" xr:uid="{00000000-0005-0000-0000-00006C000000}"/>
    <cellStyle name="Normal 7" xfId="97" xr:uid="{00000000-0005-0000-0000-00006D000000}"/>
    <cellStyle name="Normal GHG Textfiels Bold" xfId="98" xr:uid="{00000000-0005-0000-0000-00006E000000}"/>
    <cellStyle name="Normal GHG whole table" xfId="99" xr:uid="{00000000-0005-0000-0000-00006F000000}"/>
    <cellStyle name="Normal GHG-Shade" xfId="100" xr:uid="{00000000-0005-0000-0000-000070000000}"/>
    <cellStyle name="Pattern" xfId="101" xr:uid="{00000000-0005-0000-0000-000071000000}"/>
    <cellStyle name="Percent 2" xfId="102" xr:uid="{00000000-0005-0000-0000-000072000000}"/>
    <cellStyle name="Percent 2 2" xfId="103" xr:uid="{00000000-0005-0000-0000-000073000000}"/>
    <cellStyle name="Percent 3" xfId="104" xr:uid="{00000000-0005-0000-0000-000074000000}"/>
    <cellStyle name="Porcentagem" xfId="136" builtinId="5"/>
    <cellStyle name="Porcentagem 2" xfId="105" xr:uid="{00000000-0005-0000-0000-000076000000}"/>
    <cellStyle name="Reference" xfId="106" xr:uid="{00000000-0005-0000-0000-000077000000}"/>
    <cellStyle name="Row heading" xfId="107" xr:uid="{00000000-0005-0000-0000-000078000000}"/>
    <cellStyle name="Saída" xfId="2" builtinId="21"/>
    <cellStyle name="Separador de milhares 2" xfId="108" xr:uid="{00000000-0005-0000-0000-00007A000000}"/>
    <cellStyle name="Separador de milhares 2 2" xfId="109" xr:uid="{00000000-0005-0000-0000-00007B000000}"/>
    <cellStyle name="Source Hed" xfId="110" xr:uid="{00000000-0005-0000-0000-00007C000000}"/>
    <cellStyle name="Source Letter" xfId="111" xr:uid="{00000000-0005-0000-0000-00007D000000}"/>
    <cellStyle name="Source Superscript" xfId="112" xr:uid="{00000000-0005-0000-0000-00007E000000}"/>
    <cellStyle name="Source Text" xfId="113" xr:uid="{00000000-0005-0000-0000-00007F000000}"/>
    <cellStyle name="Standard_CRF Inventar" xfId="114" xr:uid="{00000000-0005-0000-0000-000080000000}"/>
    <cellStyle name="State" xfId="115" xr:uid="{00000000-0005-0000-0000-000081000000}"/>
    <cellStyle name="Superscript" xfId="116" xr:uid="{00000000-0005-0000-0000-000082000000}"/>
    <cellStyle name="Superscript- regular" xfId="117" xr:uid="{00000000-0005-0000-0000-000083000000}"/>
    <cellStyle name="Table Data" xfId="118" xr:uid="{00000000-0005-0000-0000-000084000000}"/>
    <cellStyle name="Table Head Top" xfId="119" xr:uid="{00000000-0005-0000-0000-000085000000}"/>
    <cellStyle name="Table Hed Side" xfId="120" xr:uid="{00000000-0005-0000-0000-000086000000}"/>
    <cellStyle name="Table Title" xfId="121" xr:uid="{00000000-0005-0000-0000-000087000000}"/>
    <cellStyle name="Title Text" xfId="122" xr:uid="{00000000-0005-0000-0000-000088000000}"/>
    <cellStyle name="Title Text 1" xfId="123" xr:uid="{00000000-0005-0000-0000-000089000000}"/>
    <cellStyle name="Title Text 2" xfId="124" xr:uid="{00000000-0005-0000-0000-00008A000000}"/>
    <cellStyle name="Title-1" xfId="125" xr:uid="{00000000-0005-0000-0000-00008B000000}"/>
    <cellStyle name="Title-2" xfId="126" xr:uid="{00000000-0005-0000-0000-00008C000000}"/>
    <cellStyle name="Title-3" xfId="127" xr:uid="{00000000-0005-0000-0000-00008D000000}"/>
    <cellStyle name="Vírgula" xfId="135" builtinId="3"/>
    <cellStyle name="Vírgula 2" xfId="128" xr:uid="{00000000-0005-0000-0000-00008F000000}"/>
    <cellStyle name="Vírgula 3" xfId="129" xr:uid="{00000000-0005-0000-0000-000090000000}"/>
    <cellStyle name="Wrap" xfId="130" xr:uid="{00000000-0005-0000-0000-000091000000}"/>
    <cellStyle name="Wrap Bold" xfId="131" xr:uid="{00000000-0005-0000-0000-000092000000}"/>
    <cellStyle name="Wrap Title" xfId="132" xr:uid="{00000000-0005-0000-0000-000093000000}"/>
    <cellStyle name="Wrap_NTS99-~11" xfId="133" xr:uid="{00000000-0005-0000-0000-000094000000}"/>
    <cellStyle name="標準_CRF1999" xfId="134" xr:uid="{00000000-0005-0000-0000-000095000000}"/>
  </cellStyles>
  <dxfs count="9">
    <dxf>
      <fill>
        <patternFill>
          <bgColor theme="6" tint="0.59996337778862885"/>
        </patternFill>
      </fill>
    </dxf>
    <dxf>
      <fill>
        <patternFill>
          <bgColor theme="6" tint="0.59996337778862885"/>
        </patternFill>
      </fill>
    </dxf>
    <dxf>
      <fill>
        <patternFill>
          <bgColor theme="1"/>
        </patternFill>
      </fill>
    </dxf>
    <dxf>
      <font>
        <color theme="6" tint="0.39994506668294322"/>
      </font>
    </dxf>
    <dxf>
      <fill>
        <patternFill>
          <bgColor theme="6" tint="0.59996337778862885"/>
        </patternFill>
      </fill>
    </dxf>
    <dxf>
      <fill>
        <patternFill>
          <bgColor theme="1"/>
        </patternFill>
      </fill>
    </dxf>
    <dxf>
      <fill>
        <patternFill>
          <bgColor theme="6" tint="0.59996337778862885"/>
        </patternFill>
      </fill>
    </dxf>
    <dxf>
      <fill>
        <patternFill>
          <bgColor theme="6" tint="0.59996337778862885"/>
        </patternFill>
      </fill>
    </dxf>
    <dxf>
      <font>
        <color theme="1" tint="0.499984740745262"/>
      </font>
      <fill>
        <patternFill patternType="solid">
          <fgColor theme="1" tint="0.499984740745262"/>
          <bgColor theme="1" tint="0.499984740745262"/>
        </patternFill>
      </fill>
    </dxf>
  </dxfs>
  <tableStyles count="0" defaultTableStyle="TableStyleMedium2" defaultPivotStyle="PivotStyleLight16"/>
  <colors>
    <mruColors>
      <color rgb="FFFDC300"/>
      <color rgb="FF1E7EAA"/>
      <color rgb="FF046433"/>
      <color rgb="FF00A039"/>
      <color rgb="FF1E7EA0"/>
      <color rgb="FF003978"/>
      <color rgb="FFC1ADB7"/>
      <color rgb="FFF6882E"/>
      <color rgb="FF225B83"/>
      <color rgb="FF9C7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11.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3.jpe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12.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13.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14.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15.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16.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17.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18.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19.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2.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20.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3.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4.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5.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6.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7.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8.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_rels/drawing9.xml.rels><?xml version="1.0" encoding="UTF-8" standalone="yes"?>
<Relationships xmlns="http://schemas.openxmlformats.org/package/2006/relationships"><Relationship Id="rId8" Type="http://schemas.openxmlformats.org/officeDocument/2006/relationships/hyperlink" Target="#'Apoio_Regula&#231;&#227;o Qualidade &#193;gua'!A1"/><Relationship Id="rId13" Type="http://schemas.openxmlformats.org/officeDocument/2006/relationships/hyperlink" Target="#'Apoio Regula&#231;&#227;o de Poliniza&#231;&#227;o'!A1"/><Relationship Id="rId3" Type="http://schemas.openxmlformats.org/officeDocument/2006/relationships/hyperlink" Target="#'Plano de Trabalho'!A1"/><Relationship Id="rId7" Type="http://schemas.openxmlformats.org/officeDocument/2006/relationships/hyperlink" Target="#'Regula&#231;&#227;o Qualidade da &#193;gua'!A1"/><Relationship Id="rId12" Type="http://schemas.openxmlformats.org/officeDocument/2006/relationships/hyperlink" Target="#'Regula&#231;&#227;o de poliniza&#231;&#227;o'!A1"/><Relationship Id="rId17" Type="http://schemas.openxmlformats.org/officeDocument/2006/relationships/hyperlink" Target="#Resumo!A1"/><Relationship Id="rId2" Type="http://schemas.openxmlformats.org/officeDocument/2006/relationships/hyperlink" Target="#'SE de provis&#227;o (geral)'!A1"/><Relationship Id="rId16" Type="http://schemas.openxmlformats.org/officeDocument/2006/relationships/hyperlink" Target="#'Recrea&#231;&#227;o e Turismo'!A1"/><Relationship Id="rId1" Type="http://schemas.openxmlformats.org/officeDocument/2006/relationships/image" Target="../media/image2.png"/><Relationship Id="rId6" Type="http://schemas.openxmlformats.org/officeDocument/2006/relationships/hyperlink" Target="#'Apoio_Provis&#227;o Biomassa Comb.'!A1"/><Relationship Id="rId11" Type="http://schemas.openxmlformats.org/officeDocument/2006/relationships/hyperlink" Target="#'Apoio_Regula&#231;&#227;o do clima global'!A1"/><Relationship Id="rId5" Type="http://schemas.openxmlformats.org/officeDocument/2006/relationships/hyperlink" Target="#'Provis&#227;o Biomassa Combust&#237;vel'!A1"/><Relationship Id="rId15" Type="http://schemas.openxmlformats.org/officeDocument/2006/relationships/hyperlink" Target="#'Apoio_Regula&#231;&#227;o da Eros&#227;o'!A1"/><Relationship Id="rId10" Type="http://schemas.openxmlformats.org/officeDocument/2006/relationships/hyperlink" Target="#'Regula&#231;&#227;o do clima global'!A1"/><Relationship Id="rId4" Type="http://schemas.openxmlformats.org/officeDocument/2006/relationships/hyperlink" Target="#'Provis&#227;o de &#193;gua'!A1"/><Relationship Id="rId9" Type="http://schemas.openxmlformats.org/officeDocument/2006/relationships/hyperlink" Target="#'Assimila&#231;&#227;o Efluentes L&#237;quido'!A1"/><Relationship Id="rId14" Type="http://schemas.openxmlformats.org/officeDocument/2006/relationships/hyperlink" Target="#'Regula&#231;&#227;o da Eros&#227;o do Solo'!A1"/></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19050</xdr:rowOff>
    </xdr:from>
    <xdr:to>
      <xdr:col>6</xdr:col>
      <xdr:colOff>361950</xdr:colOff>
      <xdr:row>4</xdr:row>
      <xdr:rowOff>35965</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19050"/>
          <a:ext cx="3400425" cy="778915"/>
        </a:xfrm>
        <a:prstGeom prst="rect">
          <a:avLst/>
        </a:prstGeom>
      </xdr:spPr>
    </xdr:pic>
    <xdr:clientData/>
  </xdr:twoCellAnchor>
  <xdr:twoCellAnchor editAs="oneCell">
    <xdr:from>
      <xdr:col>7</xdr:col>
      <xdr:colOff>28575</xdr:colOff>
      <xdr:row>0</xdr:row>
      <xdr:rowOff>95250</xdr:rowOff>
    </xdr:from>
    <xdr:to>
      <xdr:col>10</xdr:col>
      <xdr:colOff>514350</xdr:colOff>
      <xdr:row>5</xdr:row>
      <xdr:rowOff>20722</xdr:rowOff>
    </xdr:to>
    <xdr:pic>
      <xdr:nvPicPr>
        <xdr:cNvPr id="6" name="Imagem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4567"/>
        <a:stretch/>
      </xdr:blipFill>
      <xdr:spPr>
        <a:xfrm>
          <a:off x="4295775" y="95250"/>
          <a:ext cx="2314575" cy="8779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21167</xdr:colOff>
      <xdr:row>7</xdr:row>
      <xdr:rowOff>10584</xdr:rowOff>
    </xdr:from>
    <xdr:to>
      <xdr:col>0</xdr:col>
      <xdr:colOff>1640417</xdr:colOff>
      <xdr:row>10</xdr:row>
      <xdr:rowOff>126281</xdr:rowOff>
    </xdr:to>
    <xdr:pic>
      <xdr:nvPicPr>
        <xdr:cNvPr id="26" name="Imagem 25">
          <a:extLst>
            <a:ext uri="{FF2B5EF4-FFF2-40B4-BE49-F238E27FC236}">
              <a16:creationId xmlns:a16="http://schemas.microsoft.com/office/drawing/2014/main" id="{00000000-0008-0000-09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167" y="1365251"/>
          <a:ext cx="1619250" cy="718947"/>
        </a:xfrm>
        <a:prstGeom prst="rect">
          <a:avLst/>
        </a:prstGeom>
      </xdr:spPr>
    </xdr:pic>
    <xdr:clientData/>
  </xdr:twoCellAnchor>
  <xdr:twoCellAnchor>
    <xdr:from>
      <xdr:col>0</xdr:col>
      <xdr:colOff>116417</xdr:colOff>
      <xdr:row>0</xdr:row>
      <xdr:rowOff>127000</xdr:rowOff>
    </xdr:from>
    <xdr:to>
      <xdr:col>7</xdr:col>
      <xdr:colOff>1294342</xdr:colOff>
      <xdr:row>5</xdr:row>
      <xdr:rowOff>52918</xdr:rowOff>
    </xdr:to>
    <xdr:grpSp>
      <xdr:nvGrpSpPr>
        <xdr:cNvPr id="27" name="Grupo 26">
          <a:extLst>
            <a:ext uri="{FF2B5EF4-FFF2-40B4-BE49-F238E27FC236}">
              <a16:creationId xmlns:a16="http://schemas.microsoft.com/office/drawing/2014/main" id="{00000000-0008-0000-0900-00001B000000}"/>
            </a:ext>
          </a:extLst>
        </xdr:cNvPr>
        <xdr:cNvGrpSpPr/>
      </xdr:nvGrpSpPr>
      <xdr:grpSpPr>
        <a:xfrm>
          <a:off x="116417" y="127000"/>
          <a:ext cx="12734925" cy="878418"/>
          <a:chOff x="52917" y="190500"/>
          <a:chExt cx="13832416" cy="878418"/>
        </a:xfrm>
      </xdr:grpSpPr>
      <xdr:sp macro="" textlink="">
        <xdr:nvSpPr>
          <xdr:cNvPr id="51" name="Fluxograma: Processo 60">
            <a:extLst>
              <a:ext uri="{FF2B5EF4-FFF2-40B4-BE49-F238E27FC236}">
                <a16:creationId xmlns:a16="http://schemas.microsoft.com/office/drawing/2014/main" id="{00000000-0008-0000-0900-000033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52" name="Retângulo de cantos arredondados 35">
            <a:hlinkClick xmlns:r="http://schemas.openxmlformats.org/officeDocument/2006/relationships" r:id="rId2"/>
            <a:extLst>
              <a:ext uri="{FF2B5EF4-FFF2-40B4-BE49-F238E27FC236}">
                <a16:creationId xmlns:a16="http://schemas.microsoft.com/office/drawing/2014/main" id="{00000000-0008-0000-0900-000034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 </a:t>
            </a:r>
          </a:p>
        </xdr:txBody>
      </xdr:sp>
      <xdr:sp macro="" textlink="">
        <xdr:nvSpPr>
          <xdr:cNvPr id="53" name="Retângulo de cantos arredondados 35">
            <a:hlinkClick xmlns:r="http://schemas.openxmlformats.org/officeDocument/2006/relationships" r:id="rId3"/>
            <a:extLst>
              <a:ext uri="{FF2B5EF4-FFF2-40B4-BE49-F238E27FC236}">
                <a16:creationId xmlns:a16="http://schemas.microsoft.com/office/drawing/2014/main" id="{00000000-0008-0000-0900-000035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54" name="Retângulo de cantos arredondados 35">
            <a:hlinkClick xmlns:r="http://schemas.openxmlformats.org/officeDocument/2006/relationships" r:id="rId4"/>
            <a:extLst>
              <a:ext uri="{FF2B5EF4-FFF2-40B4-BE49-F238E27FC236}">
                <a16:creationId xmlns:a16="http://schemas.microsoft.com/office/drawing/2014/main" id="{00000000-0008-0000-0900-000036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55" name="Retângulo de cantos arredondados 35">
            <a:hlinkClick xmlns:r="http://schemas.openxmlformats.org/officeDocument/2006/relationships" r:id="rId5"/>
            <a:extLst>
              <a:ext uri="{FF2B5EF4-FFF2-40B4-BE49-F238E27FC236}">
                <a16:creationId xmlns:a16="http://schemas.microsoft.com/office/drawing/2014/main" id="{00000000-0008-0000-0900-000037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56" name="Retângulo de cantos arredondados 35">
            <a:hlinkClick xmlns:r="http://schemas.openxmlformats.org/officeDocument/2006/relationships" r:id="rId6"/>
            <a:extLst>
              <a:ext uri="{FF2B5EF4-FFF2-40B4-BE49-F238E27FC236}">
                <a16:creationId xmlns:a16="http://schemas.microsoft.com/office/drawing/2014/main" id="{00000000-0008-0000-0900-000038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57" name="Retângulo de cantos arredondados 35">
            <a:hlinkClick xmlns:r="http://schemas.openxmlformats.org/officeDocument/2006/relationships" r:id="rId7"/>
            <a:extLst>
              <a:ext uri="{FF2B5EF4-FFF2-40B4-BE49-F238E27FC236}">
                <a16:creationId xmlns:a16="http://schemas.microsoft.com/office/drawing/2014/main" id="{00000000-0008-0000-0900-000039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8" name="Retângulo de cantos arredondados 35">
            <a:hlinkClick xmlns:r="http://schemas.openxmlformats.org/officeDocument/2006/relationships" r:id="rId8"/>
            <a:extLst>
              <a:ext uri="{FF2B5EF4-FFF2-40B4-BE49-F238E27FC236}">
                <a16:creationId xmlns:a16="http://schemas.microsoft.com/office/drawing/2014/main" id="{00000000-0008-0000-0900-00003A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9" name="Retângulo de cantos arredondados 58">
            <a:hlinkClick xmlns:r="http://schemas.openxmlformats.org/officeDocument/2006/relationships" r:id="rId9"/>
            <a:extLst>
              <a:ext uri="{FF2B5EF4-FFF2-40B4-BE49-F238E27FC236}">
                <a16:creationId xmlns:a16="http://schemas.microsoft.com/office/drawing/2014/main" id="{00000000-0008-0000-0900-00003B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60" name="Retângulo de cantos arredondados 35">
            <a:hlinkClick xmlns:r="http://schemas.openxmlformats.org/officeDocument/2006/relationships" r:id="rId9"/>
            <a:extLst>
              <a:ext uri="{FF2B5EF4-FFF2-40B4-BE49-F238E27FC236}">
                <a16:creationId xmlns:a16="http://schemas.microsoft.com/office/drawing/2014/main" id="{00000000-0008-0000-0900-00003C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61" name="Retângulo de cantos arredondados 35">
            <a:hlinkClick xmlns:r="http://schemas.openxmlformats.org/officeDocument/2006/relationships" r:id="rId10"/>
            <a:extLst>
              <a:ext uri="{FF2B5EF4-FFF2-40B4-BE49-F238E27FC236}">
                <a16:creationId xmlns:a16="http://schemas.microsoft.com/office/drawing/2014/main" id="{00000000-0008-0000-0900-00003D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62" name="Retângulo de cantos arredondados 35">
            <a:hlinkClick xmlns:r="http://schemas.openxmlformats.org/officeDocument/2006/relationships" r:id="rId11"/>
            <a:extLst>
              <a:ext uri="{FF2B5EF4-FFF2-40B4-BE49-F238E27FC236}">
                <a16:creationId xmlns:a16="http://schemas.microsoft.com/office/drawing/2014/main" id="{00000000-0008-0000-0900-00003E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63" name="Retângulo de cantos arredondados 35">
            <a:hlinkClick xmlns:r="http://schemas.openxmlformats.org/officeDocument/2006/relationships" r:id="rId12"/>
            <a:extLst>
              <a:ext uri="{FF2B5EF4-FFF2-40B4-BE49-F238E27FC236}">
                <a16:creationId xmlns:a16="http://schemas.microsoft.com/office/drawing/2014/main" id="{00000000-0008-0000-0900-00003F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4" name="Retângulo de cantos arredondados 35">
            <a:hlinkClick xmlns:r="http://schemas.openxmlformats.org/officeDocument/2006/relationships" r:id="rId13"/>
            <a:extLst>
              <a:ext uri="{FF2B5EF4-FFF2-40B4-BE49-F238E27FC236}">
                <a16:creationId xmlns:a16="http://schemas.microsoft.com/office/drawing/2014/main" id="{00000000-0008-0000-0900-000040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5" name="Retângulo de cantos arredondados 35">
            <a:hlinkClick xmlns:r="http://schemas.openxmlformats.org/officeDocument/2006/relationships" r:id="rId14"/>
            <a:extLst>
              <a:ext uri="{FF2B5EF4-FFF2-40B4-BE49-F238E27FC236}">
                <a16:creationId xmlns:a16="http://schemas.microsoft.com/office/drawing/2014/main" id="{00000000-0008-0000-0900-000041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66" name="Retângulo de cantos arredondados 35">
            <a:hlinkClick xmlns:r="http://schemas.openxmlformats.org/officeDocument/2006/relationships" r:id="rId15"/>
            <a:extLst>
              <a:ext uri="{FF2B5EF4-FFF2-40B4-BE49-F238E27FC236}">
                <a16:creationId xmlns:a16="http://schemas.microsoft.com/office/drawing/2014/main" id="{00000000-0008-0000-0900-000042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67" name="Retângulo de cantos arredondados 35">
            <a:hlinkClick xmlns:r="http://schemas.openxmlformats.org/officeDocument/2006/relationships" r:id="rId16"/>
            <a:extLst>
              <a:ext uri="{FF2B5EF4-FFF2-40B4-BE49-F238E27FC236}">
                <a16:creationId xmlns:a16="http://schemas.microsoft.com/office/drawing/2014/main" id="{00000000-0008-0000-0900-000043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68" name="Retângulo de cantos arredondados 35">
            <a:hlinkClick xmlns:r="http://schemas.openxmlformats.org/officeDocument/2006/relationships" r:id="rId17"/>
            <a:extLst>
              <a:ext uri="{FF2B5EF4-FFF2-40B4-BE49-F238E27FC236}">
                <a16:creationId xmlns:a16="http://schemas.microsoft.com/office/drawing/2014/main" id="{00000000-0008-0000-0900-000044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7</xdr:row>
      <xdr:rowOff>9525</xdr:rowOff>
    </xdr:from>
    <xdr:to>
      <xdr:col>3</xdr:col>
      <xdr:colOff>571500</xdr:colOff>
      <xdr:row>8</xdr:row>
      <xdr:rowOff>500639</xdr:rowOff>
    </xdr:to>
    <xdr:pic>
      <xdr:nvPicPr>
        <xdr:cNvPr id="3" name="Imagem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343150"/>
          <a:ext cx="1552575" cy="729240"/>
        </a:xfrm>
        <a:prstGeom prst="rect">
          <a:avLst/>
        </a:prstGeom>
      </xdr:spPr>
    </xdr:pic>
    <xdr:clientData/>
  </xdr:twoCellAnchor>
  <xdr:twoCellAnchor>
    <xdr:from>
      <xdr:col>0</xdr:col>
      <xdr:colOff>104775</xdr:colOff>
      <xdr:row>0</xdr:row>
      <xdr:rowOff>66675</xdr:rowOff>
    </xdr:from>
    <xdr:to>
      <xdr:col>14</xdr:col>
      <xdr:colOff>838200</xdr:colOff>
      <xdr:row>4</xdr:row>
      <xdr:rowOff>183093</xdr:rowOff>
    </xdr:to>
    <xdr:grpSp>
      <xdr:nvGrpSpPr>
        <xdr:cNvPr id="26" name="Grupo 25">
          <a:extLst>
            <a:ext uri="{FF2B5EF4-FFF2-40B4-BE49-F238E27FC236}">
              <a16:creationId xmlns:a16="http://schemas.microsoft.com/office/drawing/2014/main" id="{00000000-0008-0000-0A00-00001A000000}"/>
            </a:ext>
          </a:extLst>
        </xdr:cNvPr>
        <xdr:cNvGrpSpPr/>
      </xdr:nvGrpSpPr>
      <xdr:grpSpPr>
        <a:xfrm>
          <a:off x="104775" y="66675"/>
          <a:ext cx="12777258" cy="878418"/>
          <a:chOff x="52917" y="190500"/>
          <a:chExt cx="13832416" cy="878418"/>
        </a:xfrm>
      </xdr:grpSpPr>
      <xdr:sp macro="" textlink="">
        <xdr:nvSpPr>
          <xdr:cNvPr id="50" name="Fluxograma: Processo 60">
            <a:extLst>
              <a:ext uri="{FF2B5EF4-FFF2-40B4-BE49-F238E27FC236}">
                <a16:creationId xmlns:a16="http://schemas.microsoft.com/office/drawing/2014/main" id="{00000000-0008-0000-0A00-000032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51" name="Retângulo de cantos arredondados 35">
            <a:hlinkClick xmlns:r="http://schemas.openxmlformats.org/officeDocument/2006/relationships" r:id="rId2"/>
            <a:extLst>
              <a:ext uri="{FF2B5EF4-FFF2-40B4-BE49-F238E27FC236}">
                <a16:creationId xmlns:a16="http://schemas.microsoft.com/office/drawing/2014/main" id="{00000000-0008-0000-0A00-000033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 </a:t>
            </a:r>
          </a:p>
        </xdr:txBody>
      </xdr:sp>
      <xdr:sp macro="" textlink="">
        <xdr:nvSpPr>
          <xdr:cNvPr id="52" name="Retângulo de cantos arredondados 35">
            <a:hlinkClick xmlns:r="http://schemas.openxmlformats.org/officeDocument/2006/relationships" r:id="rId3"/>
            <a:extLst>
              <a:ext uri="{FF2B5EF4-FFF2-40B4-BE49-F238E27FC236}">
                <a16:creationId xmlns:a16="http://schemas.microsoft.com/office/drawing/2014/main" id="{00000000-0008-0000-0A00-000034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53" name="Retângulo de cantos arredondados 35">
            <a:hlinkClick xmlns:r="http://schemas.openxmlformats.org/officeDocument/2006/relationships" r:id="rId4"/>
            <a:extLst>
              <a:ext uri="{FF2B5EF4-FFF2-40B4-BE49-F238E27FC236}">
                <a16:creationId xmlns:a16="http://schemas.microsoft.com/office/drawing/2014/main" id="{00000000-0008-0000-0A00-000035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54" name="Retângulo de cantos arredondados 35">
            <a:hlinkClick xmlns:r="http://schemas.openxmlformats.org/officeDocument/2006/relationships" r:id="rId5"/>
            <a:extLst>
              <a:ext uri="{FF2B5EF4-FFF2-40B4-BE49-F238E27FC236}">
                <a16:creationId xmlns:a16="http://schemas.microsoft.com/office/drawing/2014/main" id="{00000000-0008-0000-0A00-000036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55" name="Retângulo de cantos arredondados 35">
            <a:hlinkClick xmlns:r="http://schemas.openxmlformats.org/officeDocument/2006/relationships" r:id="rId6"/>
            <a:extLst>
              <a:ext uri="{FF2B5EF4-FFF2-40B4-BE49-F238E27FC236}">
                <a16:creationId xmlns:a16="http://schemas.microsoft.com/office/drawing/2014/main" id="{00000000-0008-0000-0A00-000037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56" name="Retângulo de cantos arredondados 35">
            <a:hlinkClick xmlns:r="http://schemas.openxmlformats.org/officeDocument/2006/relationships" r:id="rId7"/>
            <a:extLst>
              <a:ext uri="{FF2B5EF4-FFF2-40B4-BE49-F238E27FC236}">
                <a16:creationId xmlns:a16="http://schemas.microsoft.com/office/drawing/2014/main" id="{00000000-0008-0000-0A00-000038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7" name="Retângulo de cantos arredondados 35">
            <a:hlinkClick xmlns:r="http://schemas.openxmlformats.org/officeDocument/2006/relationships" r:id="rId8"/>
            <a:extLst>
              <a:ext uri="{FF2B5EF4-FFF2-40B4-BE49-F238E27FC236}">
                <a16:creationId xmlns:a16="http://schemas.microsoft.com/office/drawing/2014/main" id="{00000000-0008-0000-0A00-000039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8" name="Retângulo de cantos arredondados 57">
            <a:hlinkClick xmlns:r="http://schemas.openxmlformats.org/officeDocument/2006/relationships" r:id="rId9"/>
            <a:extLst>
              <a:ext uri="{FF2B5EF4-FFF2-40B4-BE49-F238E27FC236}">
                <a16:creationId xmlns:a16="http://schemas.microsoft.com/office/drawing/2014/main" id="{00000000-0008-0000-0A00-00003A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59" name="Retângulo de cantos arredondados 35">
            <a:hlinkClick xmlns:r="http://schemas.openxmlformats.org/officeDocument/2006/relationships" r:id="rId9"/>
            <a:extLst>
              <a:ext uri="{FF2B5EF4-FFF2-40B4-BE49-F238E27FC236}">
                <a16:creationId xmlns:a16="http://schemas.microsoft.com/office/drawing/2014/main" id="{00000000-0008-0000-0A00-00003B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60" name="Retângulo de cantos arredondados 35">
            <a:hlinkClick xmlns:r="http://schemas.openxmlformats.org/officeDocument/2006/relationships" r:id="rId10"/>
            <a:extLst>
              <a:ext uri="{FF2B5EF4-FFF2-40B4-BE49-F238E27FC236}">
                <a16:creationId xmlns:a16="http://schemas.microsoft.com/office/drawing/2014/main" id="{00000000-0008-0000-0A00-00003C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61" name="Retângulo de cantos arredondados 35">
            <a:hlinkClick xmlns:r="http://schemas.openxmlformats.org/officeDocument/2006/relationships" r:id="rId11"/>
            <a:extLst>
              <a:ext uri="{FF2B5EF4-FFF2-40B4-BE49-F238E27FC236}">
                <a16:creationId xmlns:a16="http://schemas.microsoft.com/office/drawing/2014/main" id="{00000000-0008-0000-0A00-00003D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62" name="Retângulo de cantos arredondados 35">
            <a:hlinkClick xmlns:r="http://schemas.openxmlformats.org/officeDocument/2006/relationships" r:id="rId12"/>
            <a:extLst>
              <a:ext uri="{FF2B5EF4-FFF2-40B4-BE49-F238E27FC236}">
                <a16:creationId xmlns:a16="http://schemas.microsoft.com/office/drawing/2014/main" id="{00000000-0008-0000-0A00-00003E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3" name="Retângulo de cantos arredondados 35">
            <a:hlinkClick xmlns:r="http://schemas.openxmlformats.org/officeDocument/2006/relationships" r:id="rId13"/>
            <a:extLst>
              <a:ext uri="{FF2B5EF4-FFF2-40B4-BE49-F238E27FC236}">
                <a16:creationId xmlns:a16="http://schemas.microsoft.com/office/drawing/2014/main" id="{00000000-0008-0000-0A00-00003F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4" name="Retângulo de cantos arredondados 35">
            <a:hlinkClick xmlns:r="http://schemas.openxmlformats.org/officeDocument/2006/relationships" r:id="rId14"/>
            <a:extLst>
              <a:ext uri="{FF2B5EF4-FFF2-40B4-BE49-F238E27FC236}">
                <a16:creationId xmlns:a16="http://schemas.microsoft.com/office/drawing/2014/main" id="{00000000-0008-0000-0A00-000040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65" name="Retângulo de cantos arredondados 35">
            <a:hlinkClick xmlns:r="http://schemas.openxmlformats.org/officeDocument/2006/relationships" r:id="rId15"/>
            <a:extLst>
              <a:ext uri="{FF2B5EF4-FFF2-40B4-BE49-F238E27FC236}">
                <a16:creationId xmlns:a16="http://schemas.microsoft.com/office/drawing/2014/main" id="{00000000-0008-0000-0A00-000041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66" name="Retângulo de cantos arredondados 35">
            <a:hlinkClick xmlns:r="http://schemas.openxmlformats.org/officeDocument/2006/relationships" r:id="rId16"/>
            <a:extLst>
              <a:ext uri="{FF2B5EF4-FFF2-40B4-BE49-F238E27FC236}">
                <a16:creationId xmlns:a16="http://schemas.microsoft.com/office/drawing/2014/main" id="{00000000-0008-0000-0A00-000042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67" name="Retângulo de cantos arredondados 35">
            <a:hlinkClick xmlns:r="http://schemas.openxmlformats.org/officeDocument/2006/relationships" r:id="rId17"/>
            <a:extLst>
              <a:ext uri="{FF2B5EF4-FFF2-40B4-BE49-F238E27FC236}">
                <a16:creationId xmlns:a16="http://schemas.microsoft.com/office/drawing/2014/main" id="{00000000-0008-0000-0A00-000043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31750</xdr:colOff>
      <xdr:row>9</xdr:row>
      <xdr:rowOff>74083</xdr:rowOff>
    </xdr:from>
    <xdr:to>
      <xdr:col>0</xdr:col>
      <xdr:colOff>1651000</xdr:colOff>
      <xdr:row>12</xdr:row>
      <xdr:rowOff>189780</xdr:rowOff>
    </xdr:to>
    <xdr:pic>
      <xdr:nvPicPr>
        <xdr:cNvPr id="26" name="Imagem 25">
          <a:extLst>
            <a:ext uri="{FF2B5EF4-FFF2-40B4-BE49-F238E27FC236}">
              <a16:creationId xmlns:a16="http://schemas.microsoft.com/office/drawing/2014/main" id="{00000000-0008-0000-0B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2571750"/>
          <a:ext cx="1619250" cy="718947"/>
        </a:xfrm>
        <a:prstGeom prst="rect">
          <a:avLst/>
        </a:prstGeom>
      </xdr:spPr>
    </xdr:pic>
    <xdr:clientData/>
  </xdr:twoCellAnchor>
  <xdr:twoCellAnchor>
    <xdr:from>
      <xdr:col>0</xdr:col>
      <xdr:colOff>84667</xdr:colOff>
      <xdr:row>0</xdr:row>
      <xdr:rowOff>158750</xdr:rowOff>
    </xdr:from>
    <xdr:to>
      <xdr:col>6</xdr:col>
      <xdr:colOff>437092</xdr:colOff>
      <xdr:row>5</xdr:row>
      <xdr:rowOff>84668</xdr:rowOff>
    </xdr:to>
    <xdr:grpSp>
      <xdr:nvGrpSpPr>
        <xdr:cNvPr id="50" name="Grupo 49">
          <a:extLst>
            <a:ext uri="{FF2B5EF4-FFF2-40B4-BE49-F238E27FC236}">
              <a16:creationId xmlns:a16="http://schemas.microsoft.com/office/drawing/2014/main" id="{00000000-0008-0000-0B00-000032000000}"/>
            </a:ext>
          </a:extLst>
        </xdr:cNvPr>
        <xdr:cNvGrpSpPr/>
      </xdr:nvGrpSpPr>
      <xdr:grpSpPr>
        <a:xfrm>
          <a:off x="84667" y="158750"/>
          <a:ext cx="12734925" cy="878418"/>
          <a:chOff x="52917" y="190500"/>
          <a:chExt cx="13832416" cy="878418"/>
        </a:xfrm>
      </xdr:grpSpPr>
      <xdr:sp macro="" textlink="">
        <xdr:nvSpPr>
          <xdr:cNvPr id="51" name="Fluxograma: Processo 60">
            <a:extLst>
              <a:ext uri="{FF2B5EF4-FFF2-40B4-BE49-F238E27FC236}">
                <a16:creationId xmlns:a16="http://schemas.microsoft.com/office/drawing/2014/main" id="{00000000-0008-0000-0B00-000033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52" name="Retângulo de cantos arredondados 35">
            <a:hlinkClick xmlns:r="http://schemas.openxmlformats.org/officeDocument/2006/relationships" r:id="rId2"/>
            <a:extLst>
              <a:ext uri="{FF2B5EF4-FFF2-40B4-BE49-F238E27FC236}">
                <a16:creationId xmlns:a16="http://schemas.microsoft.com/office/drawing/2014/main" id="{00000000-0008-0000-0B00-000034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a:t>
            </a:r>
          </a:p>
        </xdr:txBody>
      </xdr:sp>
      <xdr:sp macro="" textlink="">
        <xdr:nvSpPr>
          <xdr:cNvPr id="53" name="Retângulo de cantos arredondados 35">
            <a:hlinkClick xmlns:r="http://schemas.openxmlformats.org/officeDocument/2006/relationships" r:id="rId3"/>
            <a:extLst>
              <a:ext uri="{FF2B5EF4-FFF2-40B4-BE49-F238E27FC236}">
                <a16:creationId xmlns:a16="http://schemas.microsoft.com/office/drawing/2014/main" id="{00000000-0008-0000-0B00-000035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54" name="Retângulo de cantos arredondados 35">
            <a:hlinkClick xmlns:r="http://schemas.openxmlformats.org/officeDocument/2006/relationships" r:id="rId4"/>
            <a:extLst>
              <a:ext uri="{FF2B5EF4-FFF2-40B4-BE49-F238E27FC236}">
                <a16:creationId xmlns:a16="http://schemas.microsoft.com/office/drawing/2014/main" id="{00000000-0008-0000-0B00-000036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55" name="Retângulo de cantos arredondados 35">
            <a:hlinkClick xmlns:r="http://schemas.openxmlformats.org/officeDocument/2006/relationships" r:id="rId5"/>
            <a:extLst>
              <a:ext uri="{FF2B5EF4-FFF2-40B4-BE49-F238E27FC236}">
                <a16:creationId xmlns:a16="http://schemas.microsoft.com/office/drawing/2014/main" id="{00000000-0008-0000-0B00-000037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56" name="Retângulo de cantos arredondados 35">
            <a:hlinkClick xmlns:r="http://schemas.openxmlformats.org/officeDocument/2006/relationships" r:id="rId6"/>
            <a:extLst>
              <a:ext uri="{FF2B5EF4-FFF2-40B4-BE49-F238E27FC236}">
                <a16:creationId xmlns:a16="http://schemas.microsoft.com/office/drawing/2014/main" id="{00000000-0008-0000-0B00-000038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57" name="Retângulo de cantos arredondados 35">
            <a:hlinkClick xmlns:r="http://schemas.openxmlformats.org/officeDocument/2006/relationships" r:id="rId7"/>
            <a:extLst>
              <a:ext uri="{FF2B5EF4-FFF2-40B4-BE49-F238E27FC236}">
                <a16:creationId xmlns:a16="http://schemas.microsoft.com/office/drawing/2014/main" id="{00000000-0008-0000-0B00-000039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8" name="Retângulo de cantos arredondados 35">
            <a:hlinkClick xmlns:r="http://schemas.openxmlformats.org/officeDocument/2006/relationships" r:id="rId8"/>
            <a:extLst>
              <a:ext uri="{FF2B5EF4-FFF2-40B4-BE49-F238E27FC236}">
                <a16:creationId xmlns:a16="http://schemas.microsoft.com/office/drawing/2014/main" id="{00000000-0008-0000-0B00-00003A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9" name="Retângulo de cantos arredondados 58">
            <a:hlinkClick xmlns:r="http://schemas.openxmlformats.org/officeDocument/2006/relationships" r:id="rId9"/>
            <a:extLst>
              <a:ext uri="{FF2B5EF4-FFF2-40B4-BE49-F238E27FC236}">
                <a16:creationId xmlns:a16="http://schemas.microsoft.com/office/drawing/2014/main" id="{00000000-0008-0000-0B00-00003B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60" name="Retângulo de cantos arredondados 35">
            <a:hlinkClick xmlns:r="http://schemas.openxmlformats.org/officeDocument/2006/relationships" r:id="rId9"/>
            <a:extLst>
              <a:ext uri="{FF2B5EF4-FFF2-40B4-BE49-F238E27FC236}">
                <a16:creationId xmlns:a16="http://schemas.microsoft.com/office/drawing/2014/main" id="{00000000-0008-0000-0B00-00003C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61" name="Retângulo de cantos arredondados 35">
            <a:hlinkClick xmlns:r="http://schemas.openxmlformats.org/officeDocument/2006/relationships" r:id="rId10"/>
            <a:extLst>
              <a:ext uri="{FF2B5EF4-FFF2-40B4-BE49-F238E27FC236}">
                <a16:creationId xmlns:a16="http://schemas.microsoft.com/office/drawing/2014/main" id="{00000000-0008-0000-0B00-00003D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62" name="Retângulo de cantos arredondados 35">
            <a:hlinkClick xmlns:r="http://schemas.openxmlformats.org/officeDocument/2006/relationships" r:id="rId11"/>
            <a:extLst>
              <a:ext uri="{FF2B5EF4-FFF2-40B4-BE49-F238E27FC236}">
                <a16:creationId xmlns:a16="http://schemas.microsoft.com/office/drawing/2014/main" id="{00000000-0008-0000-0B00-00003E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63" name="Retângulo de cantos arredondados 35">
            <a:hlinkClick xmlns:r="http://schemas.openxmlformats.org/officeDocument/2006/relationships" r:id="rId12"/>
            <a:extLst>
              <a:ext uri="{FF2B5EF4-FFF2-40B4-BE49-F238E27FC236}">
                <a16:creationId xmlns:a16="http://schemas.microsoft.com/office/drawing/2014/main" id="{00000000-0008-0000-0B00-00003F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4" name="Retângulo de cantos arredondados 35">
            <a:hlinkClick xmlns:r="http://schemas.openxmlformats.org/officeDocument/2006/relationships" r:id="rId13"/>
            <a:extLst>
              <a:ext uri="{FF2B5EF4-FFF2-40B4-BE49-F238E27FC236}">
                <a16:creationId xmlns:a16="http://schemas.microsoft.com/office/drawing/2014/main" id="{00000000-0008-0000-0B00-000040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5" name="Retângulo de cantos arredondados 35">
            <a:hlinkClick xmlns:r="http://schemas.openxmlformats.org/officeDocument/2006/relationships" r:id="rId14"/>
            <a:extLst>
              <a:ext uri="{FF2B5EF4-FFF2-40B4-BE49-F238E27FC236}">
                <a16:creationId xmlns:a16="http://schemas.microsoft.com/office/drawing/2014/main" id="{00000000-0008-0000-0B00-000041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66" name="Retângulo de cantos arredondados 35">
            <a:hlinkClick xmlns:r="http://schemas.openxmlformats.org/officeDocument/2006/relationships" r:id="rId15"/>
            <a:extLst>
              <a:ext uri="{FF2B5EF4-FFF2-40B4-BE49-F238E27FC236}">
                <a16:creationId xmlns:a16="http://schemas.microsoft.com/office/drawing/2014/main" id="{00000000-0008-0000-0B00-000042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67" name="Retângulo de cantos arredondados 35">
            <a:hlinkClick xmlns:r="http://schemas.openxmlformats.org/officeDocument/2006/relationships" r:id="rId16"/>
            <a:extLst>
              <a:ext uri="{FF2B5EF4-FFF2-40B4-BE49-F238E27FC236}">
                <a16:creationId xmlns:a16="http://schemas.microsoft.com/office/drawing/2014/main" id="{00000000-0008-0000-0B00-000043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68" name="Retângulo de cantos arredondados 35">
            <a:hlinkClick xmlns:r="http://schemas.openxmlformats.org/officeDocument/2006/relationships" r:id="rId17"/>
            <a:extLst>
              <a:ext uri="{FF2B5EF4-FFF2-40B4-BE49-F238E27FC236}">
                <a16:creationId xmlns:a16="http://schemas.microsoft.com/office/drawing/2014/main" id="{00000000-0008-0000-0B00-000044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xdr:colOff>
      <xdr:row>8</xdr:row>
      <xdr:rowOff>9525</xdr:rowOff>
    </xdr:from>
    <xdr:to>
      <xdr:col>3</xdr:col>
      <xdr:colOff>552450</xdr:colOff>
      <xdr:row>10</xdr:row>
      <xdr:rowOff>347472</xdr:rowOff>
    </xdr:to>
    <xdr:pic>
      <xdr:nvPicPr>
        <xdr:cNvPr id="26" name="Imagem 25">
          <a:extLst>
            <a:ext uri="{FF2B5EF4-FFF2-40B4-BE49-F238E27FC236}">
              <a16:creationId xmlns:a16="http://schemas.microsoft.com/office/drawing/2014/main" id="{00000000-0008-0000-0C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950" y="2352675"/>
          <a:ext cx="1619250" cy="718947"/>
        </a:xfrm>
        <a:prstGeom prst="rect">
          <a:avLst/>
        </a:prstGeom>
      </xdr:spPr>
    </xdr:pic>
    <xdr:clientData/>
  </xdr:twoCellAnchor>
  <xdr:twoCellAnchor>
    <xdr:from>
      <xdr:col>0</xdr:col>
      <xdr:colOff>116416</xdr:colOff>
      <xdr:row>0</xdr:row>
      <xdr:rowOff>137584</xdr:rowOff>
    </xdr:from>
    <xdr:to>
      <xdr:col>17</xdr:col>
      <xdr:colOff>34924</xdr:colOff>
      <xdr:row>6</xdr:row>
      <xdr:rowOff>63502</xdr:rowOff>
    </xdr:to>
    <xdr:grpSp>
      <xdr:nvGrpSpPr>
        <xdr:cNvPr id="46" name="Grupo 45">
          <a:extLst>
            <a:ext uri="{FF2B5EF4-FFF2-40B4-BE49-F238E27FC236}">
              <a16:creationId xmlns:a16="http://schemas.microsoft.com/office/drawing/2014/main" id="{00000000-0008-0000-0C00-00002E000000}"/>
            </a:ext>
          </a:extLst>
        </xdr:cNvPr>
        <xdr:cNvGrpSpPr/>
      </xdr:nvGrpSpPr>
      <xdr:grpSpPr>
        <a:xfrm>
          <a:off x="116416" y="137584"/>
          <a:ext cx="12338051" cy="992718"/>
          <a:chOff x="52917" y="190500"/>
          <a:chExt cx="13832416" cy="878418"/>
        </a:xfrm>
      </xdr:grpSpPr>
      <xdr:sp macro="" textlink="">
        <xdr:nvSpPr>
          <xdr:cNvPr id="47" name="Fluxograma: Processo 60">
            <a:extLst>
              <a:ext uri="{FF2B5EF4-FFF2-40B4-BE49-F238E27FC236}">
                <a16:creationId xmlns:a16="http://schemas.microsoft.com/office/drawing/2014/main" id="{00000000-0008-0000-0C00-00002F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48" name="Retângulo de cantos arredondados 35">
            <a:hlinkClick xmlns:r="http://schemas.openxmlformats.org/officeDocument/2006/relationships" r:id="rId2"/>
            <a:extLst>
              <a:ext uri="{FF2B5EF4-FFF2-40B4-BE49-F238E27FC236}">
                <a16:creationId xmlns:a16="http://schemas.microsoft.com/office/drawing/2014/main" id="{00000000-0008-0000-0C00-000030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 </a:t>
            </a:r>
          </a:p>
        </xdr:txBody>
      </xdr:sp>
      <xdr:sp macro="" textlink="">
        <xdr:nvSpPr>
          <xdr:cNvPr id="49" name="Retângulo de cantos arredondados 35">
            <a:hlinkClick xmlns:r="http://schemas.openxmlformats.org/officeDocument/2006/relationships" r:id="rId3"/>
            <a:extLst>
              <a:ext uri="{FF2B5EF4-FFF2-40B4-BE49-F238E27FC236}">
                <a16:creationId xmlns:a16="http://schemas.microsoft.com/office/drawing/2014/main" id="{00000000-0008-0000-0C00-000031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73" name="Retângulo de cantos arredondados 35">
            <a:hlinkClick xmlns:r="http://schemas.openxmlformats.org/officeDocument/2006/relationships" r:id="rId4"/>
            <a:extLst>
              <a:ext uri="{FF2B5EF4-FFF2-40B4-BE49-F238E27FC236}">
                <a16:creationId xmlns:a16="http://schemas.microsoft.com/office/drawing/2014/main" id="{00000000-0008-0000-0C00-000049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74" name="Retângulo de cantos arredondados 35">
            <a:hlinkClick xmlns:r="http://schemas.openxmlformats.org/officeDocument/2006/relationships" r:id="rId5"/>
            <a:extLst>
              <a:ext uri="{FF2B5EF4-FFF2-40B4-BE49-F238E27FC236}">
                <a16:creationId xmlns:a16="http://schemas.microsoft.com/office/drawing/2014/main" id="{00000000-0008-0000-0C00-00004A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75" name="Retângulo de cantos arredondados 35">
            <a:hlinkClick xmlns:r="http://schemas.openxmlformats.org/officeDocument/2006/relationships" r:id="rId6"/>
            <a:extLst>
              <a:ext uri="{FF2B5EF4-FFF2-40B4-BE49-F238E27FC236}">
                <a16:creationId xmlns:a16="http://schemas.microsoft.com/office/drawing/2014/main" id="{00000000-0008-0000-0C00-00004B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76" name="Retângulo de cantos arredondados 35">
            <a:hlinkClick xmlns:r="http://schemas.openxmlformats.org/officeDocument/2006/relationships" r:id="rId7"/>
            <a:extLst>
              <a:ext uri="{FF2B5EF4-FFF2-40B4-BE49-F238E27FC236}">
                <a16:creationId xmlns:a16="http://schemas.microsoft.com/office/drawing/2014/main" id="{00000000-0008-0000-0C00-00004C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77" name="Retângulo de cantos arredondados 35">
            <a:hlinkClick xmlns:r="http://schemas.openxmlformats.org/officeDocument/2006/relationships" r:id="rId8"/>
            <a:extLst>
              <a:ext uri="{FF2B5EF4-FFF2-40B4-BE49-F238E27FC236}">
                <a16:creationId xmlns:a16="http://schemas.microsoft.com/office/drawing/2014/main" id="{00000000-0008-0000-0C00-00004D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78" name="Retângulo de cantos arredondados 77">
            <a:hlinkClick xmlns:r="http://schemas.openxmlformats.org/officeDocument/2006/relationships" r:id="rId9"/>
            <a:extLst>
              <a:ext uri="{FF2B5EF4-FFF2-40B4-BE49-F238E27FC236}">
                <a16:creationId xmlns:a16="http://schemas.microsoft.com/office/drawing/2014/main" id="{00000000-0008-0000-0C00-00004E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79" name="Retângulo de cantos arredondados 35">
            <a:hlinkClick xmlns:r="http://schemas.openxmlformats.org/officeDocument/2006/relationships" r:id="rId9"/>
            <a:extLst>
              <a:ext uri="{FF2B5EF4-FFF2-40B4-BE49-F238E27FC236}">
                <a16:creationId xmlns:a16="http://schemas.microsoft.com/office/drawing/2014/main" id="{00000000-0008-0000-0C00-00004F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80" name="Retângulo de cantos arredondados 35">
            <a:hlinkClick xmlns:r="http://schemas.openxmlformats.org/officeDocument/2006/relationships" r:id="rId10"/>
            <a:extLst>
              <a:ext uri="{FF2B5EF4-FFF2-40B4-BE49-F238E27FC236}">
                <a16:creationId xmlns:a16="http://schemas.microsoft.com/office/drawing/2014/main" id="{00000000-0008-0000-0C00-000050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81" name="Retângulo de cantos arredondados 35">
            <a:hlinkClick xmlns:r="http://schemas.openxmlformats.org/officeDocument/2006/relationships" r:id="rId11"/>
            <a:extLst>
              <a:ext uri="{FF2B5EF4-FFF2-40B4-BE49-F238E27FC236}">
                <a16:creationId xmlns:a16="http://schemas.microsoft.com/office/drawing/2014/main" id="{00000000-0008-0000-0C00-000051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82" name="Retângulo de cantos arredondados 35">
            <a:hlinkClick xmlns:r="http://schemas.openxmlformats.org/officeDocument/2006/relationships" r:id="rId12"/>
            <a:extLst>
              <a:ext uri="{FF2B5EF4-FFF2-40B4-BE49-F238E27FC236}">
                <a16:creationId xmlns:a16="http://schemas.microsoft.com/office/drawing/2014/main" id="{00000000-0008-0000-0C00-000052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83" name="Retângulo de cantos arredondados 35">
            <a:hlinkClick xmlns:r="http://schemas.openxmlformats.org/officeDocument/2006/relationships" r:id="rId13"/>
            <a:extLst>
              <a:ext uri="{FF2B5EF4-FFF2-40B4-BE49-F238E27FC236}">
                <a16:creationId xmlns:a16="http://schemas.microsoft.com/office/drawing/2014/main" id="{00000000-0008-0000-0C00-000053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84" name="Retângulo de cantos arredondados 35">
            <a:hlinkClick xmlns:r="http://schemas.openxmlformats.org/officeDocument/2006/relationships" r:id="rId14"/>
            <a:extLst>
              <a:ext uri="{FF2B5EF4-FFF2-40B4-BE49-F238E27FC236}">
                <a16:creationId xmlns:a16="http://schemas.microsoft.com/office/drawing/2014/main" id="{00000000-0008-0000-0C00-000054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85" name="Retângulo de cantos arredondados 35">
            <a:hlinkClick xmlns:r="http://schemas.openxmlformats.org/officeDocument/2006/relationships" r:id="rId15"/>
            <a:extLst>
              <a:ext uri="{FF2B5EF4-FFF2-40B4-BE49-F238E27FC236}">
                <a16:creationId xmlns:a16="http://schemas.microsoft.com/office/drawing/2014/main" id="{00000000-0008-0000-0C00-000055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86" name="Retângulo de cantos arredondados 35">
            <a:hlinkClick xmlns:r="http://schemas.openxmlformats.org/officeDocument/2006/relationships" r:id="rId16"/>
            <a:extLst>
              <a:ext uri="{FF2B5EF4-FFF2-40B4-BE49-F238E27FC236}">
                <a16:creationId xmlns:a16="http://schemas.microsoft.com/office/drawing/2014/main" id="{00000000-0008-0000-0C00-000056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87" name="Retângulo de cantos arredondados 35">
            <a:hlinkClick xmlns:r="http://schemas.openxmlformats.org/officeDocument/2006/relationships" r:id="rId17"/>
            <a:extLst>
              <a:ext uri="{FF2B5EF4-FFF2-40B4-BE49-F238E27FC236}">
                <a16:creationId xmlns:a16="http://schemas.microsoft.com/office/drawing/2014/main" id="{00000000-0008-0000-0C00-000057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285752</xdr:colOff>
      <xdr:row>8</xdr:row>
      <xdr:rowOff>10581</xdr:rowOff>
    </xdr:from>
    <xdr:to>
      <xdr:col>1</xdr:col>
      <xdr:colOff>1608669</xdr:colOff>
      <xdr:row>11</xdr:row>
      <xdr:rowOff>158028</xdr:rowOff>
    </xdr:to>
    <xdr:pic>
      <xdr:nvPicPr>
        <xdr:cNvPr id="26" name="Imagem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2" y="1534581"/>
          <a:ext cx="1619250" cy="718947"/>
        </a:xfrm>
        <a:prstGeom prst="rect">
          <a:avLst/>
        </a:prstGeom>
      </xdr:spPr>
    </xdr:pic>
    <xdr:clientData/>
  </xdr:twoCellAnchor>
  <xdr:twoCellAnchor>
    <xdr:from>
      <xdr:col>1</xdr:col>
      <xdr:colOff>0</xdr:colOff>
      <xdr:row>1</xdr:row>
      <xdr:rowOff>0</xdr:rowOff>
    </xdr:from>
    <xdr:to>
      <xdr:col>12</xdr:col>
      <xdr:colOff>0</xdr:colOff>
      <xdr:row>5</xdr:row>
      <xdr:rowOff>116418</xdr:rowOff>
    </xdr:to>
    <xdr:grpSp>
      <xdr:nvGrpSpPr>
        <xdr:cNvPr id="50" name="Grupo 49">
          <a:extLst>
            <a:ext uri="{FF2B5EF4-FFF2-40B4-BE49-F238E27FC236}">
              <a16:creationId xmlns:a16="http://schemas.microsoft.com/office/drawing/2014/main" id="{00000000-0008-0000-0D00-000032000000}"/>
            </a:ext>
          </a:extLst>
        </xdr:cNvPr>
        <xdr:cNvGrpSpPr/>
      </xdr:nvGrpSpPr>
      <xdr:grpSpPr>
        <a:xfrm>
          <a:off x="296333" y="190500"/>
          <a:ext cx="11990917" cy="878418"/>
          <a:chOff x="52917" y="190500"/>
          <a:chExt cx="13832416" cy="878418"/>
        </a:xfrm>
      </xdr:grpSpPr>
      <xdr:sp macro="" textlink="">
        <xdr:nvSpPr>
          <xdr:cNvPr id="51" name="Fluxograma: Processo 60">
            <a:extLst>
              <a:ext uri="{FF2B5EF4-FFF2-40B4-BE49-F238E27FC236}">
                <a16:creationId xmlns:a16="http://schemas.microsoft.com/office/drawing/2014/main" id="{00000000-0008-0000-0D00-000033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52" name="Retângulo de cantos arredondados 35">
            <a:hlinkClick xmlns:r="http://schemas.openxmlformats.org/officeDocument/2006/relationships" r:id="rId2"/>
            <a:extLst>
              <a:ext uri="{FF2B5EF4-FFF2-40B4-BE49-F238E27FC236}">
                <a16:creationId xmlns:a16="http://schemas.microsoft.com/office/drawing/2014/main" id="{00000000-0008-0000-0D00-000034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 </a:t>
            </a:r>
          </a:p>
        </xdr:txBody>
      </xdr:sp>
      <xdr:sp macro="" textlink="">
        <xdr:nvSpPr>
          <xdr:cNvPr id="53" name="Retângulo de cantos arredondados 35">
            <a:hlinkClick xmlns:r="http://schemas.openxmlformats.org/officeDocument/2006/relationships" r:id="rId3"/>
            <a:extLst>
              <a:ext uri="{FF2B5EF4-FFF2-40B4-BE49-F238E27FC236}">
                <a16:creationId xmlns:a16="http://schemas.microsoft.com/office/drawing/2014/main" id="{00000000-0008-0000-0D00-000035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54" name="Retângulo de cantos arredondados 35">
            <a:hlinkClick xmlns:r="http://schemas.openxmlformats.org/officeDocument/2006/relationships" r:id="rId4"/>
            <a:extLst>
              <a:ext uri="{FF2B5EF4-FFF2-40B4-BE49-F238E27FC236}">
                <a16:creationId xmlns:a16="http://schemas.microsoft.com/office/drawing/2014/main" id="{00000000-0008-0000-0D00-000036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55" name="Retângulo de cantos arredondados 35">
            <a:hlinkClick xmlns:r="http://schemas.openxmlformats.org/officeDocument/2006/relationships" r:id="rId5"/>
            <a:extLst>
              <a:ext uri="{FF2B5EF4-FFF2-40B4-BE49-F238E27FC236}">
                <a16:creationId xmlns:a16="http://schemas.microsoft.com/office/drawing/2014/main" id="{00000000-0008-0000-0D00-000037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56" name="Retângulo de cantos arredondados 35">
            <a:hlinkClick xmlns:r="http://schemas.openxmlformats.org/officeDocument/2006/relationships" r:id="rId6"/>
            <a:extLst>
              <a:ext uri="{FF2B5EF4-FFF2-40B4-BE49-F238E27FC236}">
                <a16:creationId xmlns:a16="http://schemas.microsoft.com/office/drawing/2014/main" id="{00000000-0008-0000-0D00-000038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57" name="Retângulo de cantos arredondados 35">
            <a:hlinkClick xmlns:r="http://schemas.openxmlformats.org/officeDocument/2006/relationships" r:id="rId7"/>
            <a:extLst>
              <a:ext uri="{FF2B5EF4-FFF2-40B4-BE49-F238E27FC236}">
                <a16:creationId xmlns:a16="http://schemas.microsoft.com/office/drawing/2014/main" id="{00000000-0008-0000-0D00-000039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8" name="Retângulo de cantos arredondados 35">
            <a:hlinkClick xmlns:r="http://schemas.openxmlformats.org/officeDocument/2006/relationships" r:id="rId8"/>
            <a:extLst>
              <a:ext uri="{FF2B5EF4-FFF2-40B4-BE49-F238E27FC236}">
                <a16:creationId xmlns:a16="http://schemas.microsoft.com/office/drawing/2014/main" id="{00000000-0008-0000-0D00-00003A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9" name="Retângulo de cantos arredondados 58">
            <a:hlinkClick xmlns:r="http://schemas.openxmlformats.org/officeDocument/2006/relationships" r:id="rId9"/>
            <a:extLst>
              <a:ext uri="{FF2B5EF4-FFF2-40B4-BE49-F238E27FC236}">
                <a16:creationId xmlns:a16="http://schemas.microsoft.com/office/drawing/2014/main" id="{00000000-0008-0000-0D00-00003B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60" name="Retângulo de cantos arredondados 35">
            <a:hlinkClick xmlns:r="http://schemas.openxmlformats.org/officeDocument/2006/relationships" r:id="rId9"/>
            <a:extLst>
              <a:ext uri="{FF2B5EF4-FFF2-40B4-BE49-F238E27FC236}">
                <a16:creationId xmlns:a16="http://schemas.microsoft.com/office/drawing/2014/main" id="{00000000-0008-0000-0D00-00003C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61" name="Retângulo de cantos arredondados 35">
            <a:hlinkClick xmlns:r="http://schemas.openxmlformats.org/officeDocument/2006/relationships" r:id="rId10"/>
            <a:extLst>
              <a:ext uri="{FF2B5EF4-FFF2-40B4-BE49-F238E27FC236}">
                <a16:creationId xmlns:a16="http://schemas.microsoft.com/office/drawing/2014/main" id="{00000000-0008-0000-0D00-00003D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62" name="Retângulo de cantos arredondados 35">
            <a:hlinkClick xmlns:r="http://schemas.openxmlformats.org/officeDocument/2006/relationships" r:id="rId11"/>
            <a:extLst>
              <a:ext uri="{FF2B5EF4-FFF2-40B4-BE49-F238E27FC236}">
                <a16:creationId xmlns:a16="http://schemas.microsoft.com/office/drawing/2014/main" id="{00000000-0008-0000-0D00-00003E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63" name="Retângulo de cantos arredondados 35">
            <a:hlinkClick xmlns:r="http://schemas.openxmlformats.org/officeDocument/2006/relationships" r:id="rId12"/>
            <a:extLst>
              <a:ext uri="{FF2B5EF4-FFF2-40B4-BE49-F238E27FC236}">
                <a16:creationId xmlns:a16="http://schemas.microsoft.com/office/drawing/2014/main" id="{00000000-0008-0000-0D00-00003F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4" name="Retângulo de cantos arredondados 35">
            <a:hlinkClick xmlns:r="http://schemas.openxmlformats.org/officeDocument/2006/relationships" r:id="rId13"/>
            <a:extLst>
              <a:ext uri="{FF2B5EF4-FFF2-40B4-BE49-F238E27FC236}">
                <a16:creationId xmlns:a16="http://schemas.microsoft.com/office/drawing/2014/main" id="{00000000-0008-0000-0D00-000040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5" name="Retângulo de cantos arredondados 35">
            <a:hlinkClick xmlns:r="http://schemas.openxmlformats.org/officeDocument/2006/relationships" r:id="rId14"/>
            <a:extLst>
              <a:ext uri="{FF2B5EF4-FFF2-40B4-BE49-F238E27FC236}">
                <a16:creationId xmlns:a16="http://schemas.microsoft.com/office/drawing/2014/main" id="{00000000-0008-0000-0D00-000041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66" name="Retângulo de cantos arredondados 35">
            <a:hlinkClick xmlns:r="http://schemas.openxmlformats.org/officeDocument/2006/relationships" r:id="rId15"/>
            <a:extLst>
              <a:ext uri="{FF2B5EF4-FFF2-40B4-BE49-F238E27FC236}">
                <a16:creationId xmlns:a16="http://schemas.microsoft.com/office/drawing/2014/main" id="{00000000-0008-0000-0D00-000042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67" name="Retângulo de cantos arredondados 35">
            <a:hlinkClick xmlns:r="http://schemas.openxmlformats.org/officeDocument/2006/relationships" r:id="rId16"/>
            <a:extLst>
              <a:ext uri="{FF2B5EF4-FFF2-40B4-BE49-F238E27FC236}">
                <a16:creationId xmlns:a16="http://schemas.microsoft.com/office/drawing/2014/main" id="{00000000-0008-0000-0D00-000043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68" name="Retângulo de cantos arredondados 35">
            <a:hlinkClick xmlns:r="http://schemas.openxmlformats.org/officeDocument/2006/relationships" r:id="rId17"/>
            <a:extLst>
              <a:ext uri="{FF2B5EF4-FFF2-40B4-BE49-F238E27FC236}">
                <a16:creationId xmlns:a16="http://schemas.microsoft.com/office/drawing/2014/main" id="{00000000-0008-0000-0D00-000044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7</xdr:row>
      <xdr:rowOff>19050</xdr:rowOff>
    </xdr:from>
    <xdr:to>
      <xdr:col>3</xdr:col>
      <xdr:colOff>742950</xdr:colOff>
      <xdr:row>9</xdr:row>
      <xdr:rowOff>347472</xdr:rowOff>
    </xdr:to>
    <xdr:pic>
      <xdr:nvPicPr>
        <xdr:cNvPr id="26" name="Imagem 25">
          <a:extLst>
            <a:ext uri="{FF2B5EF4-FFF2-40B4-BE49-F238E27FC236}">
              <a16:creationId xmlns:a16="http://schemas.microsoft.com/office/drawing/2014/main" id="{00000000-0008-0000-0F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2362200"/>
          <a:ext cx="1619250" cy="718947"/>
        </a:xfrm>
        <a:prstGeom prst="rect">
          <a:avLst/>
        </a:prstGeom>
      </xdr:spPr>
    </xdr:pic>
    <xdr:clientData/>
  </xdr:twoCellAnchor>
  <xdr:twoCellAnchor>
    <xdr:from>
      <xdr:col>0</xdr:col>
      <xdr:colOff>85725</xdr:colOff>
      <xdr:row>0</xdr:row>
      <xdr:rowOff>152399</xdr:rowOff>
    </xdr:from>
    <xdr:to>
      <xdr:col>16</xdr:col>
      <xdr:colOff>381000</xdr:colOff>
      <xdr:row>5</xdr:row>
      <xdr:rowOff>105832</xdr:rowOff>
    </xdr:to>
    <xdr:grpSp>
      <xdr:nvGrpSpPr>
        <xdr:cNvPr id="27" name="Grupo 26">
          <a:extLst>
            <a:ext uri="{FF2B5EF4-FFF2-40B4-BE49-F238E27FC236}">
              <a16:creationId xmlns:a16="http://schemas.microsoft.com/office/drawing/2014/main" id="{00000000-0008-0000-0F00-00001B000000}"/>
            </a:ext>
          </a:extLst>
        </xdr:cNvPr>
        <xdr:cNvGrpSpPr/>
      </xdr:nvGrpSpPr>
      <xdr:grpSpPr>
        <a:xfrm>
          <a:off x="85725" y="152399"/>
          <a:ext cx="12085108" cy="905933"/>
          <a:chOff x="52917" y="190500"/>
          <a:chExt cx="13832416" cy="878418"/>
        </a:xfrm>
      </xdr:grpSpPr>
      <xdr:sp macro="" textlink="">
        <xdr:nvSpPr>
          <xdr:cNvPr id="28" name="Fluxograma: Processo 60">
            <a:extLst>
              <a:ext uri="{FF2B5EF4-FFF2-40B4-BE49-F238E27FC236}">
                <a16:creationId xmlns:a16="http://schemas.microsoft.com/office/drawing/2014/main" id="{00000000-0008-0000-0F00-00001C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29" name="Retângulo de cantos arredondados 35">
            <a:hlinkClick xmlns:r="http://schemas.openxmlformats.org/officeDocument/2006/relationships" r:id="rId2"/>
            <a:extLst>
              <a:ext uri="{FF2B5EF4-FFF2-40B4-BE49-F238E27FC236}">
                <a16:creationId xmlns:a16="http://schemas.microsoft.com/office/drawing/2014/main" id="{00000000-0008-0000-0F00-00001D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 </a:t>
            </a:r>
          </a:p>
        </xdr:txBody>
      </xdr:sp>
      <xdr:sp macro="" textlink="">
        <xdr:nvSpPr>
          <xdr:cNvPr id="30" name="Retângulo de cantos arredondados 35">
            <a:hlinkClick xmlns:r="http://schemas.openxmlformats.org/officeDocument/2006/relationships" r:id="rId3"/>
            <a:extLst>
              <a:ext uri="{FF2B5EF4-FFF2-40B4-BE49-F238E27FC236}">
                <a16:creationId xmlns:a16="http://schemas.microsoft.com/office/drawing/2014/main" id="{00000000-0008-0000-0F00-00001E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31" name="Retângulo de cantos arredondados 35">
            <a:hlinkClick xmlns:r="http://schemas.openxmlformats.org/officeDocument/2006/relationships" r:id="rId4"/>
            <a:extLst>
              <a:ext uri="{FF2B5EF4-FFF2-40B4-BE49-F238E27FC236}">
                <a16:creationId xmlns:a16="http://schemas.microsoft.com/office/drawing/2014/main" id="{00000000-0008-0000-0F00-00001F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32" name="Retângulo de cantos arredondados 35">
            <a:hlinkClick xmlns:r="http://schemas.openxmlformats.org/officeDocument/2006/relationships" r:id="rId5"/>
            <a:extLst>
              <a:ext uri="{FF2B5EF4-FFF2-40B4-BE49-F238E27FC236}">
                <a16:creationId xmlns:a16="http://schemas.microsoft.com/office/drawing/2014/main" id="{00000000-0008-0000-0F00-000020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33" name="Retângulo de cantos arredondados 35">
            <a:hlinkClick xmlns:r="http://schemas.openxmlformats.org/officeDocument/2006/relationships" r:id="rId6"/>
            <a:extLst>
              <a:ext uri="{FF2B5EF4-FFF2-40B4-BE49-F238E27FC236}">
                <a16:creationId xmlns:a16="http://schemas.microsoft.com/office/drawing/2014/main" id="{00000000-0008-0000-0F00-000021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34" name="Retângulo de cantos arredondados 35">
            <a:hlinkClick xmlns:r="http://schemas.openxmlformats.org/officeDocument/2006/relationships" r:id="rId7"/>
            <a:extLst>
              <a:ext uri="{FF2B5EF4-FFF2-40B4-BE49-F238E27FC236}">
                <a16:creationId xmlns:a16="http://schemas.microsoft.com/office/drawing/2014/main" id="{00000000-0008-0000-0F00-000022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35" name="Retângulo de cantos arredondados 35">
            <a:hlinkClick xmlns:r="http://schemas.openxmlformats.org/officeDocument/2006/relationships" r:id="rId8"/>
            <a:extLst>
              <a:ext uri="{FF2B5EF4-FFF2-40B4-BE49-F238E27FC236}">
                <a16:creationId xmlns:a16="http://schemas.microsoft.com/office/drawing/2014/main" id="{00000000-0008-0000-0F00-000023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36" name="Retângulo de cantos arredondados 35">
            <a:hlinkClick xmlns:r="http://schemas.openxmlformats.org/officeDocument/2006/relationships" r:id="rId9"/>
            <a:extLst>
              <a:ext uri="{FF2B5EF4-FFF2-40B4-BE49-F238E27FC236}">
                <a16:creationId xmlns:a16="http://schemas.microsoft.com/office/drawing/2014/main" id="{00000000-0008-0000-0F00-000024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37" name="Retângulo de cantos arredondados 35">
            <a:hlinkClick xmlns:r="http://schemas.openxmlformats.org/officeDocument/2006/relationships" r:id="rId9"/>
            <a:extLst>
              <a:ext uri="{FF2B5EF4-FFF2-40B4-BE49-F238E27FC236}">
                <a16:creationId xmlns:a16="http://schemas.microsoft.com/office/drawing/2014/main" id="{00000000-0008-0000-0F00-000025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38" name="Retângulo de cantos arredondados 35">
            <a:hlinkClick xmlns:r="http://schemas.openxmlformats.org/officeDocument/2006/relationships" r:id="rId10"/>
            <a:extLst>
              <a:ext uri="{FF2B5EF4-FFF2-40B4-BE49-F238E27FC236}">
                <a16:creationId xmlns:a16="http://schemas.microsoft.com/office/drawing/2014/main" id="{00000000-0008-0000-0F00-000026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39" name="Retângulo de cantos arredondados 35">
            <a:hlinkClick xmlns:r="http://schemas.openxmlformats.org/officeDocument/2006/relationships" r:id="rId11"/>
            <a:extLst>
              <a:ext uri="{FF2B5EF4-FFF2-40B4-BE49-F238E27FC236}">
                <a16:creationId xmlns:a16="http://schemas.microsoft.com/office/drawing/2014/main" id="{00000000-0008-0000-0F00-000027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40" name="Retângulo de cantos arredondados 35">
            <a:hlinkClick xmlns:r="http://schemas.openxmlformats.org/officeDocument/2006/relationships" r:id="rId12"/>
            <a:extLst>
              <a:ext uri="{FF2B5EF4-FFF2-40B4-BE49-F238E27FC236}">
                <a16:creationId xmlns:a16="http://schemas.microsoft.com/office/drawing/2014/main" id="{00000000-0008-0000-0F00-000028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41" name="Retângulo de cantos arredondados 35">
            <a:hlinkClick xmlns:r="http://schemas.openxmlformats.org/officeDocument/2006/relationships" r:id="rId13"/>
            <a:extLst>
              <a:ext uri="{FF2B5EF4-FFF2-40B4-BE49-F238E27FC236}">
                <a16:creationId xmlns:a16="http://schemas.microsoft.com/office/drawing/2014/main" id="{00000000-0008-0000-0F00-000029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42" name="Retângulo de cantos arredondados 35">
            <a:hlinkClick xmlns:r="http://schemas.openxmlformats.org/officeDocument/2006/relationships" r:id="rId14"/>
            <a:extLst>
              <a:ext uri="{FF2B5EF4-FFF2-40B4-BE49-F238E27FC236}">
                <a16:creationId xmlns:a16="http://schemas.microsoft.com/office/drawing/2014/main" id="{00000000-0008-0000-0F00-00002A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43" name="Retângulo de cantos arredondados 35">
            <a:hlinkClick xmlns:r="http://schemas.openxmlformats.org/officeDocument/2006/relationships" r:id="rId15"/>
            <a:extLst>
              <a:ext uri="{FF2B5EF4-FFF2-40B4-BE49-F238E27FC236}">
                <a16:creationId xmlns:a16="http://schemas.microsoft.com/office/drawing/2014/main" id="{00000000-0008-0000-0F00-00002B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44" name="Retângulo de cantos arredondados 35">
            <a:hlinkClick xmlns:r="http://schemas.openxmlformats.org/officeDocument/2006/relationships" r:id="rId16"/>
            <a:extLst>
              <a:ext uri="{FF2B5EF4-FFF2-40B4-BE49-F238E27FC236}">
                <a16:creationId xmlns:a16="http://schemas.microsoft.com/office/drawing/2014/main" id="{00000000-0008-0000-0F00-00002C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45" name="Retângulo de cantos arredondados 35">
            <a:hlinkClick xmlns:r="http://schemas.openxmlformats.org/officeDocument/2006/relationships" r:id="rId17"/>
            <a:extLst>
              <a:ext uri="{FF2B5EF4-FFF2-40B4-BE49-F238E27FC236}">
                <a16:creationId xmlns:a16="http://schemas.microsoft.com/office/drawing/2014/main" id="{00000000-0008-0000-0F00-00002D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63501</xdr:colOff>
      <xdr:row>8</xdr:row>
      <xdr:rowOff>21168</xdr:rowOff>
    </xdr:from>
    <xdr:to>
      <xdr:col>2</xdr:col>
      <xdr:colOff>10584</xdr:colOff>
      <xdr:row>11</xdr:row>
      <xdr:rowOff>168615</xdr:rowOff>
    </xdr:to>
    <xdr:pic>
      <xdr:nvPicPr>
        <xdr:cNvPr id="26" name="Imagem 25">
          <a:extLst>
            <a:ext uri="{FF2B5EF4-FFF2-40B4-BE49-F238E27FC236}">
              <a16:creationId xmlns:a16="http://schemas.microsoft.com/office/drawing/2014/main" id="{00000000-0008-0000-10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1" y="2307168"/>
          <a:ext cx="1619250" cy="718947"/>
        </a:xfrm>
        <a:prstGeom prst="rect">
          <a:avLst/>
        </a:prstGeom>
      </xdr:spPr>
    </xdr:pic>
    <xdr:clientData/>
  </xdr:twoCellAnchor>
  <xdr:twoCellAnchor>
    <xdr:from>
      <xdr:col>0</xdr:col>
      <xdr:colOff>211667</xdr:colOff>
      <xdr:row>1</xdr:row>
      <xdr:rowOff>10583</xdr:rowOff>
    </xdr:from>
    <xdr:to>
      <xdr:col>13</xdr:col>
      <xdr:colOff>1294342</xdr:colOff>
      <xdr:row>5</xdr:row>
      <xdr:rowOff>127001</xdr:rowOff>
    </xdr:to>
    <xdr:grpSp>
      <xdr:nvGrpSpPr>
        <xdr:cNvPr id="50" name="Grupo 49">
          <a:extLst>
            <a:ext uri="{FF2B5EF4-FFF2-40B4-BE49-F238E27FC236}">
              <a16:creationId xmlns:a16="http://schemas.microsoft.com/office/drawing/2014/main" id="{00000000-0008-0000-1000-000032000000}"/>
            </a:ext>
          </a:extLst>
        </xdr:cNvPr>
        <xdr:cNvGrpSpPr/>
      </xdr:nvGrpSpPr>
      <xdr:grpSpPr>
        <a:xfrm>
          <a:off x="211667" y="201083"/>
          <a:ext cx="12734925" cy="878418"/>
          <a:chOff x="52917" y="190500"/>
          <a:chExt cx="13832416" cy="878418"/>
        </a:xfrm>
      </xdr:grpSpPr>
      <xdr:sp macro="" textlink="">
        <xdr:nvSpPr>
          <xdr:cNvPr id="51" name="Fluxograma: Processo 60">
            <a:extLst>
              <a:ext uri="{FF2B5EF4-FFF2-40B4-BE49-F238E27FC236}">
                <a16:creationId xmlns:a16="http://schemas.microsoft.com/office/drawing/2014/main" id="{00000000-0008-0000-1000-000033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52" name="Retângulo de cantos arredondados 35">
            <a:hlinkClick xmlns:r="http://schemas.openxmlformats.org/officeDocument/2006/relationships" r:id="rId2"/>
            <a:extLst>
              <a:ext uri="{FF2B5EF4-FFF2-40B4-BE49-F238E27FC236}">
                <a16:creationId xmlns:a16="http://schemas.microsoft.com/office/drawing/2014/main" id="{00000000-0008-0000-1000-000034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 </a:t>
            </a:r>
          </a:p>
        </xdr:txBody>
      </xdr:sp>
      <xdr:sp macro="" textlink="">
        <xdr:nvSpPr>
          <xdr:cNvPr id="53" name="Retângulo de cantos arredondados 35">
            <a:hlinkClick xmlns:r="http://schemas.openxmlformats.org/officeDocument/2006/relationships" r:id="rId3"/>
            <a:extLst>
              <a:ext uri="{FF2B5EF4-FFF2-40B4-BE49-F238E27FC236}">
                <a16:creationId xmlns:a16="http://schemas.microsoft.com/office/drawing/2014/main" id="{00000000-0008-0000-1000-000035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54" name="Retângulo de cantos arredondados 35">
            <a:hlinkClick xmlns:r="http://schemas.openxmlformats.org/officeDocument/2006/relationships" r:id="rId4"/>
            <a:extLst>
              <a:ext uri="{FF2B5EF4-FFF2-40B4-BE49-F238E27FC236}">
                <a16:creationId xmlns:a16="http://schemas.microsoft.com/office/drawing/2014/main" id="{00000000-0008-0000-1000-000036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55" name="Retângulo de cantos arredondados 35">
            <a:hlinkClick xmlns:r="http://schemas.openxmlformats.org/officeDocument/2006/relationships" r:id="rId5"/>
            <a:extLst>
              <a:ext uri="{FF2B5EF4-FFF2-40B4-BE49-F238E27FC236}">
                <a16:creationId xmlns:a16="http://schemas.microsoft.com/office/drawing/2014/main" id="{00000000-0008-0000-1000-000037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56" name="Retângulo de cantos arredondados 35">
            <a:hlinkClick xmlns:r="http://schemas.openxmlformats.org/officeDocument/2006/relationships" r:id="rId6"/>
            <a:extLst>
              <a:ext uri="{FF2B5EF4-FFF2-40B4-BE49-F238E27FC236}">
                <a16:creationId xmlns:a16="http://schemas.microsoft.com/office/drawing/2014/main" id="{00000000-0008-0000-1000-000038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57" name="Retângulo de cantos arredondados 35">
            <a:hlinkClick xmlns:r="http://schemas.openxmlformats.org/officeDocument/2006/relationships" r:id="rId7"/>
            <a:extLst>
              <a:ext uri="{FF2B5EF4-FFF2-40B4-BE49-F238E27FC236}">
                <a16:creationId xmlns:a16="http://schemas.microsoft.com/office/drawing/2014/main" id="{00000000-0008-0000-1000-000039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8" name="Retângulo de cantos arredondados 35">
            <a:hlinkClick xmlns:r="http://schemas.openxmlformats.org/officeDocument/2006/relationships" r:id="rId8"/>
            <a:extLst>
              <a:ext uri="{FF2B5EF4-FFF2-40B4-BE49-F238E27FC236}">
                <a16:creationId xmlns:a16="http://schemas.microsoft.com/office/drawing/2014/main" id="{00000000-0008-0000-1000-00003A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9" name="Retângulo de cantos arredondados 58">
            <a:hlinkClick xmlns:r="http://schemas.openxmlformats.org/officeDocument/2006/relationships" r:id="rId9"/>
            <a:extLst>
              <a:ext uri="{FF2B5EF4-FFF2-40B4-BE49-F238E27FC236}">
                <a16:creationId xmlns:a16="http://schemas.microsoft.com/office/drawing/2014/main" id="{00000000-0008-0000-1000-00003B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60" name="Retângulo de cantos arredondados 35">
            <a:hlinkClick xmlns:r="http://schemas.openxmlformats.org/officeDocument/2006/relationships" r:id="rId9"/>
            <a:extLst>
              <a:ext uri="{FF2B5EF4-FFF2-40B4-BE49-F238E27FC236}">
                <a16:creationId xmlns:a16="http://schemas.microsoft.com/office/drawing/2014/main" id="{00000000-0008-0000-1000-00003C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61" name="Retângulo de cantos arredondados 35">
            <a:hlinkClick xmlns:r="http://schemas.openxmlformats.org/officeDocument/2006/relationships" r:id="rId10"/>
            <a:extLst>
              <a:ext uri="{FF2B5EF4-FFF2-40B4-BE49-F238E27FC236}">
                <a16:creationId xmlns:a16="http://schemas.microsoft.com/office/drawing/2014/main" id="{00000000-0008-0000-1000-00003D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62" name="Retângulo de cantos arredondados 35">
            <a:hlinkClick xmlns:r="http://schemas.openxmlformats.org/officeDocument/2006/relationships" r:id="rId11"/>
            <a:extLst>
              <a:ext uri="{FF2B5EF4-FFF2-40B4-BE49-F238E27FC236}">
                <a16:creationId xmlns:a16="http://schemas.microsoft.com/office/drawing/2014/main" id="{00000000-0008-0000-1000-00003E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63" name="Retângulo de cantos arredondados 35">
            <a:hlinkClick xmlns:r="http://schemas.openxmlformats.org/officeDocument/2006/relationships" r:id="rId12"/>
            <a:extLst>
              <a:ext uri="{FF2B5EF4-FFF2-40B4-BE49-F238E27FC236}">
                <a16:creationId xmlns:a16="http://schemas.microsoft.com/office/drawing/2014/main" id="{00000000-0008-0000-1000-00003F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4" name="Retângulo de cantos arredondados 35">
            <a:hlinkClick xmlns:r="http://schemas.openxmlformats.org/officeDocument/2006/relationships" r:id="rId13"/>
            <a:extLst>
              <a:ext uri="{FF2B5EF4-FFF2-40B4-BE49-F238E27FC236}">
                <a16:creationId xmlns:a16="http://schemas.microsoft.com/office/drawing/2014/main" id="{00000000-0008-0000-1000-000040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5" name="Retângulo de cantos arredondados 35">
            <a:hlinkClick xmlns:r="http://schemas.openxmlformats.org/officeDocument/2006/relationships" r:id="rId14"/>
            <a:extLst>
              <a:ext uri="{FF2B5EF4-FFF2-40B4-BE49-F238E27FC236}">
                <a16:creationId xmlns:a16="http://schemas.microsoft.com/office/drawing/2014/main" id="{00000000-0008-0000-1000-000041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66" name="Retângulo de cantos arredondados 35">
            <a:hlinkClick xmlns:r="http://schemas.openxmlformats.org/officeDocument/2006/relationships" r:id="rId15"/>
            <a:extLst>
              <a:ext uri="{FF2B5EF4-FFF2-40B4-BE49-F238E27FC236}">
                <a16:creationId xmlns:a16="http://schemas.microsoft.com/office/drawing/2014/main" id="{00000000-0008-0000-1000-000042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67" name="Retângulo de cantos arredondados 35">
            <a:hlinkClick xmlns:r="http://schemas.openxmlformats.org/officeDocument/2006/relationships" r:id="rId16"/>
            <a:extLst>
              <a:ext uri="{FF2B5EF4-FFF2-40B4-BE49-F238E27FC236}">
                <a16:creationId xmlns:a16="http://schemas.microsoft.com/office/drawing/2014/main" id="{00000000-0008-0000-1000-000043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68" name="Retângulo de cantos arredondados 35">
            <a:hlinkClick xmlns:r="http://schemas.openxmlformats.org/officeDocument/2006/relationships" r:id="rId17"/>
            <a:extLst>
              <a:ext uri="{FF2B5EF4-FFF2-40B4-BE49-F238E27FC236}">
                <a16:creationId xmlns:a16="http://schemas.microsoft.com/office/drawing/2014/main" id="{00000000-0008-0000-1000-000044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7</xdr:row>
      <xdr:rowOff>9525</xdr:rowOff>
    </xdr:from>
    <xdr:to>
      <xdr:col>3</xdr:col>
      <xdr:colOff>361950</xdr:colOff>
      <xdr:row>10</xdr:row>
      <xdr:rowOff>137922</xdr:rowOff>
    </xdr:to>
    <xdr:pic>
      <xdr:nvPicPr>
        <xdr:cNvPr id="26" name="Imagem 25">
          <a:extLst>
            <a:ext uri="{FF2B5EF4-FFF2-40B4-BE49-F238E27FC236}">
              <a16:creationId xmlns:a16="http://schemas.microsoft.com/office/drawing/2014/main" id="{00000000-0008-0000-11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2305050"/>
          <a:ext cx="1619250" cy="718947"/>
        </a:xfrm>
        <a:prstGeom prst="rect">
          <a:avLst/>
        </a:prstGeom>
      </xdr:spPr>
    </xdr:pic>
    <xdr:clientData/>
  </xdr:twoCellAnchor>
  <xdr:twoCellAnchor>
    <xdr:from>
      <xdr:col>0</xdr:col>
      <xdr:colOff>28575</xdr:colOff>
      <xdr:row>0</xdr:row>
      <xdr:rowOff>114300</xdr:rowOff>
    </xdr:from>
    <xdr:to>
      <xdr:col>17</xdr:col>
      <xdr:colOff>85725</xdr:colOff>
      <xdr:row>5</xdr:row>
      <xdr:rowOff>40218</xdr:rowOff>
    </xdr:to>
    <xdr:grpSp>
      <xdr:nvGrpSpPr>
        <xdr:cNvPr id="69" name="Grupo 68">
          <a:extLst>
            <a:ext uri="{FF2B5EF4-FFF2-40B4-BE49-F238E27FC236}">
              <a16:creationId xmlns:a16="http://schemas.microsoft.com/office/drawing/2014/main" id="{00000000-0008-0000-1100-000045000000}"/>
            </a:ext>
          </a:extLst>
        </xdr:cNvPr>
        <xdr:cNvGrpSpPr/>
      </xdr:nvGrpSpPr>
      <xdr:grpSpPr>
        <a:xfrm>
          <a:off x="28575" y="114300"/>
          <a:ext cx="12820650" cy="878418"/>
          <a:chOff x="52917" y="190500"/>
          <a:chExt cx="13832416" cy="878418"/>
        </a:xfrm>
      </xdr:grpSpPr>
      <xdr:sp macro="" textlink="">
        <xdr:nvSpPr>
          <xdr:cNvPr id="70" name="Fluxograma: Processo 60">
            <a:extLst>
              <a:ext uri="{FF2B5EF4-FFF2-40B4-BE49-F238E27FC236}">
                <a16:creationId xmlns:a16="http://schemas.microsoft.com/office/drawing/2014/main" id="{00000000-0008-0000-1100-000046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71" name="Retângulo de cantos arredondados 35">
            <a:hlinkClick xmlns:r="http://schemas.openxmlformats.org/officeDocument/2006/relationships" r:id="rId2"/>
            <a:extLst>
              <a:ext uri="{FF2B5EF4-FFF2-40B4-BE49-F238E27FC236}">
                <a16:creationId xmlns:a16="http://schemas.microsoft.com/office/drawing/2014/main" id="{00000000-0008-0000-1100-000047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a:t>
            </a:r>
          </a:p>
        </xdr:txBody>
      </xdr:sp>
      <xdr:sp macro="" textlink="">
        <xdr:nvSpPr>
          <xdr:cNvPr id="72" name="Retângulo de cantos arredondados 35">
            <a:hlinkClick xmlns:r="http://schemas.openxmlformats.org/officeDocument/2006/relationships" r:id="rId3"/>
            <a:extLst>
              <a:ext uri="{FF2B5EF4-FFF2-40B4-BE49-F238E27FC236}">
                <a16:creationId xmlns:a16="http://schemas.microsoft.com/office/drawing/2014/main" id="{00000000-0008-0000-1100-000048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73" name="Retângulo de cantos arredondados 35">
            <a:hlinkClick xmlns:r="http://schemas.openxmlformats.org/officeDocument/2006/relationships" r:id="rId4"/>
            <a:extLst>
              <a:ext uri="{FF2B5EF4-FFF2-40B4-BE49-F238E27FC236}">
                <a16:creationId xmlns:a16="http://schemas.microsoft.com/office/drawing/2014/main" id="{00000000-0008-0000-1100-000049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74" name="Retângulo de cantos arredondados 35">
            <a:hlinkClick xmlns:r="http://schemas.openxmlformats.org/officeDocument/2006/relationships" r:id="rId5"/>
            <a:extLst>
              <a:ext uri="{FF2B5EF4-FFF2-40B4-BE49-F238E27FC236}">
                <a16:creationId xmlns:a16="http://schemas.microsoft.com/office/drawing/2014/main" id="{00000000-0008-0000-1100-00004A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75" name="Retângulo de cantos arredondados 35">
            <a:hlinkClick xmlns:r="http://schemas.openxmlformats.org/officeDocument/2006/relationships" r:id="rId6"/>
            <a:extLst>
              <a:ext uri="{FF2B5EF4-FFF2-40B4-BE49-F238E27FC236}">
                <a16:creationId xmlns:a16="http://schemas.microsoft.com/office/drawing/2014/main" id="{00000000-0008-0000-1100-00004B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76" name="Retângulo de cantos arredondados 35">
            <a:hlinkClick xmlns:r="http://schemas.openxmlformats.org/officeDocument/2006/relationships" r:id="rId7"/>
            <a:extLst>
              <a:ext uri="{FF2B5EF4-FFF2-40B4-BE49-F238E27FC236}">
                <a16:creationId xmlns:a16="http://schemas.microsoft.com/office/drawing/2014/main" id="{00000000-0008-0000-1100-00004C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77" name="Retângulo de cantos arredondados 35">
            <a:hlinkClick xmlns:r="http://schemas.openxmlformats.org/officeDocument/2006/relationships" r:id="rId8"/>
            <a:extLst>
              <a:ext uri="{FF2B5EF4-FFF2-40B4-BE49-F238E27FC236}">
                <a16:creationId xmlns:a16="http://schemas.microsoft.com/office/drawing/2014/main" id="{00000000-0008-0000-1100-00004D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78" name="Retângulo de cantos arredondados 77">
            <a:hlinkClick xmlns:r="http://schemas.openxmlformats.org/officeDocument/2006/relationships" r:id="rId9"/>
            <a:extLst>
              <a:ext uri="{FF2B5EF4-FFF2-40B4-BE49-F238E27FC236}">
                <a16:creationId xmlns:a16="http://schemas.microsoft.com/office/drawing/2014/main" id="{00000000-0008-0000-1100-00004E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79" name="Retângulo de cantos arredondados 35">
            <a:hlinkClick xmlns:r="http://schemas.openxmlformats.org/officeDocument/2006/relationships" r:id="rId9"/>
            <a:extLst>
              <a:ext uri="{FF2B5EF4-FFF2-40B4-BE49-F238E27FC236}">
                <a16:creationId xmlns:a16="http://schemas.microsoft.com/office/drawing/2014/main" id="{00000000-0008-0000-1100-00004F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80" name="Retângulo de cantos arredondados 35">
            <a:hlinkClick xmlns:r="http://schemas.openxmlformats.org/officeDocument/2006/relationships" r:id="rId10"/>
            <a:extLst>
              <a:ext uri="{FF2B5EF4-FFF2-40B4-BE49-F238E27FC236}">
                <a16:creationId xmlns:a16="http://schemas.microsoft.com/office/drawing/2014/main" id="{00000000-0008-0000-1100-000050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81" name="Retângulo de cantos arredondados 35">
            <a:hlinkClick xmlns:r="http://schemas.openxmlformats.org/officeDocument/2006/relationships" r:id="rId11"/>
            <a:extLst>
              <a:ext uri="{FF2B5EF4-FFF2-40B4-BE49-F238E27FC236}">
                <a16:creationId xmlns:a16="http://schemas.microsoft.com/office/drawing/2014/main" id="{00000000-0008-0000-1100-000051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82" name="Retângulo de cantos arredondados 35">
            <a:hlinkClick xmlns:r="http://schemas.openxmlformats.org/officeDocument/2006/relationships" r:id="rId12"/>
            <a:extLst>
              <a:ext uri="{FF2B5EF4-FFF2-40B4-BE49-F238E27FC236}">
                <a16:creationId xmlns:a16="http://schemas.microsoft.com/office/drawing/2014/main" id="{00000000-0008-0000-1100-000052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83" name="Retângulo de cantos arredondados 35">
            <a:hlinkClick xmlns:r="http://schemas.openxmlformats.org/officeDocument/2006/relationships" r:id="rId13"/>
            <a:extLst>
              <a:ext uri="{FF2B5EF4-FFF2-40B4-BE49-F238E27FC236}">
                <a16:creationId xmlns:a16="http://schemas.microsoft.com/office/drawing/2014/main" id="{00000000-0008-0000-1100-000053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84" name="Retângulo de cantos arredondados 35">
            <a:hlinkClick xmlns:r="http://schemas.openxmlformats.org/officeDocument/2006/relationships" r:id="rId14"/>
            <a:extLst>
              <a:ext uri="{FF2B5EF4-FFF2-40B4-BE49-F238E27FC236}">
                <a16:creationId xmlns:a16="http://schemas.microsoft.com/office/drawing/2014/main" id="{00000000-0008-0000-1100-000054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85" name="Retângulo de cantos arredondados 35">
            <a:hlinkClick xmlns:r="http://schemas.openxmlformats.org/officeDocument/2006/relationships" r:id="rId15"/>
            <a:extLst>
              <a:ext uri="{FF2B5EF4-FFF2-40B4-BE49-F238E27FC236}">
                <a16:creationId xmlns:a16="http://schemas.microsoft.com/office/drawing/2014/main" id="{00000000-0008-0000-1100-000055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86" name="Retângulo de cantos arredondados 35">
            <a:hlinkClick xmlns:r="http://schemas.openxmlformats.org/officeDocument/2006/relationships" r:id="rId16"/>
            <a:extLst>
              <a:ext uri="{FF2B5EF4-FFF2-40B4-BE49-F238E27FC236}">
                <a16:creationId xmlns:a16="http://schemas.microsoft.com/office/drawing/2014/main" id="{00000000-0008-0000-1100-000056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87" name="Retângulo de cantos arredondados 35">
            <a:hlinkClick xmlns:r="http://schemas.openxmlformats.org/officeDocument/2006/relationships" r:id="rId17"/>
            <a:extLst>
              <a:ext uri="{FF2B5EF4-FFF2-40B4-BE49-F238E27FC236}">
                <a16:creationId xmlns:a16="http://schemas.microsoft.com/office/drawing/2014/main" id="{00000000-0008-0000-1100-000057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31756</xdr:colOff>
      <xdr:row>7</xdr:row>
      <xdr:rowOff>31756</xdr:rowOff>
    </xdr:from>
    <xdr:to>
      <xdr:col>0</xdr:col>
      <xdr:colOff>1651006</xdr:colOff>
      <xdr:row>10</xdr:row>
      <xdr:rowOff>147453</xdr:rowOff>
    </xdr:to>
    <xdr:pic>
      <xdr:nvPicPr>
        <xdr:cNvPr id="26" name="Imagem 25">
          <a:extLst>
            <a:ext uri="{FF2B5EF4-FFF2-40B4-BE49-F238E27FC236}">
              <a16:creationId xmlns:a16="http://schemas.microsoft.com/office/drawing/2014/main" id="{00000000-0008-0000-12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6" y="2338923"/>
          <a:ext cx="1619250" cy="718947"/>
        </a:xfrm>
        <a:prstGeom prst="rect">
          <a:avLst/>
        </a:prstGeom>
      </xdr:spPr>
    </xdr:pic>
    <xdr:clientData/>
  </xdr:twoCellAnchor>
  <xdr:twoCellAnchor>
    <xdr:from>
      <xdr:col>0</xdr:col>
      <xdr:colOff>74084</xdr:colOff>
      <xdr:row>0</xdr:row>
      <xdr:rowOff>137584</xdr:rowOff>
    </xdr:from>
    <xdr:to>
      <xdr:col>11</xdr:col>
      <xdr:colOff>532342</xdr:colOff>
      <xdr:row>5</xdr:row>
      <xdr:rowOff>63502</xdr:rowOff>
    </xdr:to>
    <xdr:grpSp>
      <xdr:nvGrpSpPr>
        <xdr:cNvPr id="27" name="Grupo 26">
          <a:extLst>
            <a:ext uri="{FF2B5EF4-FFF2-40B4-BE49-F238E27FC236}">
              <a16:creationId xmlns:a16="http://schemas.microsoft.com/office/drawing/2014/main" id="{00000000-0008-0000-1200-00001B000000}"/>
            </a:ext>
          </a:extLst>
        </xdr:cNvPr>
        <xdr:cNvGrpSpPr/>
      </xdr:nvGrpSpPr>
      <xdr:grpSpPr>
        <a:xfrm>
          <a:off x="74084" y="137584"/>
          <a:ext cx="12734925" cy="878418"/>
          <a:chOff x="52917" y="190500"/>
          <a:chExt cx="13832416" cy="878418"/>
        </a:xfrm>
      </xdr:grpSpPr>
      <xdr:sp macro="" textlink="">
        <xdr:nvSpPr>
          <xdr:cNvPr id="28" name="Fluxograma: Processo 60">
            <a:extLst>
              <a:ext uri="{FF2B5EF4-FFF2-40B4-BE49-F238E27FC236}">
                <a16:creationId xmlns:a16="http://schemas.microsoft.com/office/drawing/2014/main" id="{00000000-0008-0000-1200-00001C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29" name="Retângulo de cantos arredondados 35">
            <a:hlinkClick xmlns:r="http://schemas.openxmlformats.org/officeDocument/2006/relationships" r:id="rId2"/>
            <a:extLst>
              <a:ext uri="{FF2B5EF4-FFF2-40B4-BE49-F238E27FC236}">
                <a16:creationId xmlns:a16="http://schemas.microsoft.com/office/drawing/2014/main" id="{00000000-0008-0000-1200-00001D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 </a:t>
            </a:r>
          </a:p>
        </xdr:txBody>
      </xdr:sp>
      <xdr:sp macro="" textlink="">
        <xdr:nvSpPr>
          <xdr:cNvPr id="30" name="Retângulo de cantos arredondados 35">
            <a:hlinkClick xmlns:r="http://schemas.openxmlformats.org/officeDocument/2006/relationships" r:id="rId3"/>
            <a:extLst>
              <a:ext uri="{FF2B5EF4-FFF2-40B4-BE49-F238E27FC236}">
                <a16:creationId xmlns:a16="http://schemas.microsoft.com/office/drawing/2014/main" id="{00000000-0008-0000-1200-00001E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31" name="Retângulo de cantos arredondados 35">
            <a:hlinkClick xmlns:r="http://schemas.openxmlformats.org/officeDocument/2006/relationships" r:id="rId4"/>
            <a:extLst>
              <a:ext uri="{FF2B5EF4-FFF2-40B4-BE49-F238E27FC236}">
                <a16:creationId xmlns:a16="http://schemas.microsoft.com/office/drawing/2014/main" id="{00000000-0008-0000-1200-00001F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32" name="Retângulo de cantos arredondados 35">
            <a:hlinkClick xmlns:r="http://schemas.openxmlformats.org/officeDocument/2006/relationships" r:id="rId5"/>
            <a:extLst>
              <a:ext uri="{FF2B5EF4-FFF2-40B4-BE49-F238E27FC236}">
                <a16:creationId xmlns:a16="http://schemas.microsoft.com/office/drawing/2014/main" id="{00000000-0008-0000-1200-000020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33" name="Retângulo de cantos arredondados 35">
            <a:hlinkClick xmlns:r="http://schemas.openxmlformats.org/officeDocument/2006/relationships" r:id="rId6"/>
            <a:extLst>
              <a:ext uri="{FF2B5EF4-FFF2-40B4-BE49-F238E27FC236}">
                <a16:creationId xmlns:a16="http://schemas.microsoft.com/office/drawing/2014/main" id="{00000000-0008-0000-1200-000021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34" name="Retângulo de cantos arredondados 35">
            <a:hlinkClick xmlns:r="http://schemas.openxmlformats.org/officeDocument/2006/relationships" r:id="rId7"/>
            <a:extLst>
              <a:ext uri="{FF2B5EF4-FFF2-40B4-BE49-F238E27FC236}">
                <a16:creationId xmlns:a16="http://schemas.microsoft.com/office/drawing/2014/main" id="{00000000-0008-0000-1200-000022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35" name="Retângulo de cantos arredondados 35">
            <a:hlinkClick xmlns:r="http://schemas.openxmlformats.org/officeDocument/2006/relationships" r:id="rId8"/>
            <a:extLst>
              <a:ext uri="{FF2B5EF4-FFF2-40B4-BE49-F238E27FC236}">
                <a16:creationId xmlns:a16="http://schemas.microsoft.com/office/drawing/2014/main" id="{00000000-0008-0000-1200-000023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36" name="Retângulo de cantos arredondados 35">
            <a:hlinkClick xmlns:r="http://schemas.openxmlformats.org/officeDocument/2006/relationships" r:id="rId9"/>
            <a:extLst>
              <a:ext uri="{FF2B5EF4-FFF2-40B4-BE49-F238E27FC236}">
                <a16:creationId xmlns:a16="http://schemas.microsoft.com/office/drawing/2014/main" id="{00000000-0008-0000-1200-000024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37" name="Retângulo de cantos arredondados 35">
            <a:hlinkClick xmlns:r="http://schemas.openxmlformats.org/officeDocument/2006/relationships" r:id="rId9"/>
            <a:extLst>
              <a:ext uri="{FF2B5EF4-FFF2-40B4-BE49-F238E27FC236}">
                <a16:creationId xmlns:a16="http://schemas.microsoft.com/office/drawing/2014/main" id="{00000000-0008-0000-1200-000025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38" name="Retângulo de cantos arredondados 35">
            <a:hlinkClick xmlns:r="http://schemas.openxmlformats.org/officeDocument/2006/relationships" r:id="rId10"/>
            <a:extLst>
              <a:ext uri="{FF2B5EF4-FFF2-40B4-BE49-F238E27FC236}">
                <a16:creationId xmlns:a16="http://schemas.microsoft.com/office/drawing/2014/main" id="{00000000-0008-0000-1200-000026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39" name="Retângulo de cantos arredondados 35">
            <a:hlinkClick xmlns:r="http://schemas.openxmlformats.org/officeDocument/2006/relationships" r:id="rId11"/>
            <a:extLst>
              <a:ext uri="{FF2B5EF4-FFF2-40B4-BE49-F238E27FC236}">
                <a16:creationId xmlns:a16="http://schemas.microsoft.com/office/drawing/2014/main" id="{00000000-0008-0000-1200-000027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40" name="Retângulo de cantos arredondados 35">
            <a:hlinkClick xmlns:r="http://schemas.openxmlformats.org/officeDocument/2006/relationships" r:id="rId12"/>
            <a:extLst>
              <a:ext uri="{FF2B5EF4-FFF2-40B4-BE49-F238E27FC236}">
                <a16:creationId xmlns:a16="http://schemas.microsoft.com/office/drawing/2014/main" id="{00000000-0008-0000-1200-000028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41" name="Retângulo de cantos arredondados 35">
            <a:hlinkClick xmlns:r="http://schemas.openxmlformats.org/officeDocument/2006/relationships" r:id="rId13"/>
            <a:extLst>
              <a:ext uri="{FF2B5EF4-FFF2-40B4-BE49-F238E27FC236}">
                <a16:creationId xmlns:a16="http://schemas.microsoft.com/office/drawing/2014/main" id="{00000000-0008-0000-1200-000029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42" name="Retângulo de cantos arredondados 35">
            <a:hlinkClick xmlns:r="http://schemas.openxmlformats.org/officeDocument/2006/relationships" r:id="rId14"/>
            <a:extLst>
              <a:ext uri="{FF2B5EF4-FFF2-40B4-BE49-F238E27FC236}">
                <a16:creationId xmlns:a16="http://schemas.microsoft.com/office/drawing/2014/main" id="{00000000-0008-0000-1200-00002A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43" name="Retângulo de cantos arredondados 35">
            <a:hlinkClick xmlns:r="http://schemas.openxmlformats.org/officeDocument/2006/relationships" r:id="rId15"/>
            <a:extLst>
              <a:ext uri="{FF2B5EF4-FFF2-40B4-BE49-F238E27FC236}">
                <a16:creationId xmlns:a16="http://schemas.microsoft.com/office/drawing/2014/main" id="{00000000-0008-0000-1200-00002B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44" name="Retângulo de cantos arredondados 35">
            <a:hlinkClick xmlns:r="http://schemas.openxmlformats.org/officeDocument/2006/relationships" r:id="rId16"/>
            <a:extLst>
              <a:ext uri="{FF2B5EF4-FFF2-40B4-BE49-F238E27FC236}">
                <a16:creationId xmlns:a16="http://schemas.microsoft.com/office/drawing/2014/main" id="{00000000-0008-0000-1200-00002C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45" name="Retângulo de cantos arredondados 35">
            <a:hlinkClick xmlns:r="http://schemas.openxmlformats.org/officeDocument/2006/relationships" r:id="rId17"/>
            <a:extLst>
              <a:ext uri="{FF2B5EF4-FFF2-40B4-BE49-F238E27FC236}">
                <a16:creationId xmlns:a16="http://schemas.microsoft.com/office/drawing/2014/main" id="{00000000-0008-0000-1200-00002D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9525</xdr:colOff>
      <xdr:row>8</xdr:row>
      <xdr:rowOff>19050</xdr:rowOff>
    </xdr:from>
    <xdr:to>
      <xdr:col>3</xdr:col>
      <xdr:colOff>942975</xdr:colOff>
      <xdr:row>11</xdr:row>
      <xdr:rowOff>23622</xdr:rowOff>
    </xdr:to>
    <xdr:pic>
      <xdr:nvPicPr>
        <xdr:cNvPr id="26" name="Imagem 25">
          <a:extLst>
            <a:ext uri="{FF2B5EF4-FFF2-40B4-BE49-F238E27FC236}">
              <a16:creationId xmlns:a16="http://schemas.microsoft.com/office/drawing/2014/main" id="{00000000-0008-0000-13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371725"/>
          <a:ext cx="1619250" cy="718947"/>
        </a:xfrm>
        <a:prstGeom prst="rect">
          <a:avLst/>
        </a:prstGeom>
      </xdr:spPr>
    </xdr:pic>
    <xdr:clientData/>
  </xdr:twoCellAnchor>
  <xdr:twoCellAnchor>
    <xdr:from>
      <xdr:col>1</xdr:col>
      <xdr:colOff>38100</xdr:colOff>
      <xdr:row>0</xdr:row>
      <xdr:rowOff>142875</xdr:rowOff>
    </xdr:from>
    <xdr:to>
      <xdr:col>14</xdr:col>
      <xdr:colOff>209550</xdr:colOff>
      <xdr:row>5</xdr:row>
      <xdr:rowOff>68793</xdr:rowOff>
    </xdr:to>
    <xdr:grpSp>
      <xdr:nvGrpSpPr>
        <xdr:cNvPr id="50" name="Grupo 49">
          <a:extLst>
            <a:ext uri="{FF2B5EF4-FFF2-40B4-BE49-F238E27FC236}">
              <a16:creationId xmlns:a16="http://schemas.microsoft.com/office/drawing/2014/main" id="{00000000-0008-0000-1300-000032000000}"/>
            </a:ext>
          </a:extLst>
        </xdr:cNvPr>
        <xdr:cNvGrpSpPr/>
      </xdr:nvGrpSpPr>
      <xdr:grpSpPr>
        <a:xfrm>
          <a:off x="133350" y="142875"/>
          <a:ext cx="12887325" cy="878418"/>
          <a:chOff x="52917" y="190500"/>
          <a:chExt cx="13832416" cy="878418"/>
        </a:xfrm>
      </xdr:grpSpPr>
      <xdr:sp macro="" textlink="">
        <xdr:nvSpPr>
          <xdr:cNvPr id="51" name="Fluxograma: Processo 60">
            <a:extLst>
              <a:ext uri="{FF2B5EF4-FFF2-40B4-BE49-F238E27FC236}">
                <a16:creationId xmlns:a16="http://schemas.microsoft.com/office/drawing/2014/main" id="{00000000-0008-0000-1300-000033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52" name="Retângulo de cantos arredondados 35">
            <a:hlinkClick xmlns:r="http://schemas.openxmlformats.org/officeDocument/2006/relationships" r:id="rId2"/>
            <a:extLst>
              <a:ext uri="{FF2B5EF4-FFF2-40B4-BE49-F238E27FC236}">
                <a16:creationId xmlns:a16="http://schemas.microsoft.com/office/drawing/2014/main" id="{00000000-0008-0000-1300-000034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a:t>
            </a:r>
          </a:p>
        </xdr:txBody>
      </xdr:sp>
      <xdr:sp macro="" textlink="">
        <xdr:nvSpPr>
          <xdr:cNvPr id="53" name="Retângulo de cantos arredondados 35">
            <a:hlinkClick xmlns:r="http://schemas.openxmlformats.org/officeDocument/2006/relationships" r:id="rId3"/>
            <a:extLst>
              <a:ext uri="{FF2B5EF4-FFF2-40B4-BE49-F238E27FC236}">
                <a16:creationId xmlns:a16="http://schemas.microsoft.com/office/drawing/2014/main" id="{00000000-0008-0000-1300-000035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54" name="Retângulo de cantos arredondados 35">
            <a:hlinkClick xmlns:r="http://schemas.openxmlformats.org/officeDocument/2006/relationships" r:id="rId4"/>
            <a:extLst>
              <a:ext uri="{FF2B5EF4-FFF2-40B4-BE49-F238E27FC236}">
                <a16:creationId xmlns:a16="http://schemas.microsoft.com/office/drawing/2014/main" id="{00000000-0008-0000-1300-000036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55" name="Retângulo de cantos arredondados 35">
            <a:hlinkClick xmlns:r="http://schemas.openxmlformats.org/officeDocument/2006/relationships" r:id="rId5"/>
            <a:extLst>
              <a:ext uri="{FF2B5EF4-FFF2-40B4-BE49-F238E27FC236}">
                <a16:creationId xmlns:a16="http://schemas.microsoft.com/office/drawing/2014/main" id="{00000000-0008-0000-1300-000037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56" name="Retângulo de cantos arredondados 35">
            <a:hlinkClick xmlns:r="http://schemas.openxmlformats.org/officeDocument/2006/relationships" r:id="rId6"/>
            <a:extLst>
              <a:ext uri="{FF2B5EF4-FFF2-40B4-BE49-F238E27FC236}">
                <a16:creationId xmlns:a16="http://schemas.microsoft.com/office/drawing/2014/main" id="{00000000-0008-0000-1300-000038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57" name="Retângulo de cantos arredondados 35">
            <a:hlinkClick xmlns:r="http://schemas.openxmlformats.org/officeDocument/2006/relationships" r:id="rId7"/>
            <a:extLst>
              <a:ext uri="{FF2B5EF4-FFF2-40B4-BE49-F238E27FC236}">
                <a16:creationId xmlns:a16="http://schemas.microsoft.com/office/drawing/2014/main" id="{00000000-0008-0000-1300-000039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8" name="Retângulo de cantos arredondados 35">
            <a:hlinkClick xmlns:r="http://schemas.openxmlformats.org/officeDocument/2006/relationships" r:id="rId8"/>
            <a:extLst>
              <a:ext uri="{FF2B5EF4-FFF2-40B4-BE49-F238E27FC236}">
                <a16:creationId xmlns:a16="http://schemas.microsoft.com/office/drawing/2014/main" id="{00000000-0008-0000-1300-00003A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9" name="Retângulo de cantos arredondados 58">
            <a:hlinkClick xmlns:r="http://schemas.openxmlformats.org/officeDocument/2006/relationships" r:id="rId9"/>
            <a:extLst>
              <a:ext uri="{FF2B5EF4-FFF2-40B4-BE49-F238E27FC236}">
                <a16:creationId xmlns:a16="http://schemas.microsoft.com/office/drawing/2014/main" id="{00000000-0008-0000-1300-00003B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60" name="Retângulo de cantos arredondados 35">
            <a:hlinkClick xmlns:r="http://schemas.openxmlformats.org/officeDocument/2006/relationships" r:id="rId9"/>
            <a:extLst>
              <a:ext uri="{FF2B5EF4-FFF2-40B4-BE49-F238E27FC236}">
                <a16:creationId xmlns:a16="http://schemas.microsoft.com/office/drawing/2014/main" id="{00000000-0008-0000-1300-00003C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61" name="Retângulo de cantos arredondados 35">
            <a:hlinkClick xmlns:r="http://schemas.openxmlformats.org/officeDocument/2006/relationships" r:id="rId10"/>
            <a:extLst>
              <a:ext uri="{FF2B5EF4-FFF2-40B4-BE49-F238E27FC236}">
                <a16:creationId xmlns:a16="http://schemas.microsoft.com/office/drawing/2014/main" id="{00000000-0008-0000-1300-00003D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62" name="Retângulo de cantos arredondados 35">
            <a:hlinkClick xmlns:r="http://schemas.openxmlformats.org/officeDocument/2006/relationships" r:id="rId11"/>
            <a:extLst>
              <a:ext uri="{FF2B5EF4-FFF2-40B4-BE49-F238E27FC236}">
                <a16:creationId xmlns:a16="http://schemas.microsoft.com/office/drawing/2014/main" id="{00000000-0008-0000-1300-00003E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63" name="Retângulo de cantos arredondados 35">
            <a:hlinkClick xmlns:r="http://schemas.openxmlformats.org/officeDocument/2006/relationships" r:id="rId12"/>
            <a:extLst>
              <a:ext uri="{FF2B5EF4-FFF2-40B4-BE49-F238E27FC236}">
                <a16:creationId xmlns:a16="http://schemas.microsoft.com/office/drawing/2014/main" id="{00000000-0008-0000-1300-00003F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4" name="Retângulo de cantos arredondados 35">
            <a:hlinkClick xmlns:r="http://schemas.openxmlformats.org/officeDocument/2006/relationships" r:id="rId13"/>
            <a:extLst>
              <a:ext uri="{FF2B5EF4-FFF2-40B4-BE49-F238E27FC236}">
                <a16:creationId xmlns:a16="http://schemas.microsoft.com/office/drawing/2014/main" id="{00000000-0008-0000-1300-000040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5" name="Retângulo de cantos arredondados 35">
            <a:hlinkClick xmlns:r="http://schemas.openxmlformats.org/officeDocument/2006/relationships" r:id="rId14"/>
            <a:extLst>
              <a:ext uri="{FF2B5EF4-FFF2-40B4-BE49-F238E27FC236}">
                <a16:creationId xmlns:a16="http://schemas.microsoft.com/office/drawing/2014/main" id="{00000000-0008-0000-1300-000041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66" name="Retângulo de cantos arredondados 35">
            <a:hlinkClick xmlns:r="http://schemas.openxmlformats.org/officeDocument/2006/relationships" r:id="rId15"/>
            <a:extLst>
              <a:ext uri="{FF2B5EF4-FFF2-40B4-BE49-F238E27FC236}">
                <a16:creationId xmlns:a16="http://schemas.microsoft.com/office/drawing/2014/main" id="{00000000-0008-0000-1300-000042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67" name="Retângulo de cantos arredondados 35">
            <a:hlinkClick xmlns:r="http://schemas.openxmlformats.org/officeDocument/2006/relationships" r:id="rId16"/>
            <a:extLst>
              <a:ext uri="{FF2B5EF4-FFF2-40B4-BE49-F238E27FC236}">
                <a16:creationId xmlns:a16="http://schemas.microsoft.com/office/drawing/2014/main" id="{00000000-0008-0000-1300-000043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68" name="Retângulo de cantos arredondados 35">
            <a:hlinkClick xmlns:r="http://schemas.openxmlformats.org/officeDocument/2006/relationships" r:id="rId17"/>
            <a:extLst>
              <a:ext uri="{FF2B5EF4-FFF2-40B4-BE49-F238E27FC236}">
                <a16:creationId xmlns:a16="http://schemas.microsoft.com/office/drawing/2014/main" id="{00000000-0008-0000-1300-000044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5</xdr:row>
      <xdr:rowOff>127000</xdr:rowOff>
    </xdr:from>
    <xdr:to>
      <xdr:col>10</xdr:col>
      <xdr:colOff>114300</xdr:colOff>
      <xdr:row>9</xdr:row>
      <xdr:rowOff>85005</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079500"/>
          <a:ext cx="1619250" cy="718947"/>
        </a:xfrm>
        <a:prstGeom prst="rect">
          <a:avLst/>
        </a:prstGeom>
      </xdr:spPr>
    </xdr:pic>
    <xdr:clientData/>
  </xdr:twoCellAnchor>
  <xdr:twoCellAnchor>
    <xdr:from>
      <xdr:col>0</xdr:col>
      <xdr:colOff>52917</xdr:colOff>
      <xdr:row>1</xdr:row>
      <xdr:rowOff>0</xdr:rowOff>
    </xdr:from>
    <xdr:to>
      <xdr:col>31</xdr:col>
      <xdr:colOff>1058333</xdr:colOff>
      <xdr:row>5</xdr:row>
      <xdr:rowOff>116418</xdr:rowOff>
    </xdr:to>
    <xdr:grpSp>
      <xdr:nvGrpSpPr>
        <xdr:cNvPr id="3" name="Grupo 2">
          <a:extLst>
            <a:ext uri="{FF2B5EF4-FFF2-40B4-BE49-F238E27FC236}">
              <a16:creationId xmlns:a16="http://schemas.microsoft.com/office/drawing/2014/main" id="{00000000-0008-0000-0100-000003000000}"/>
            </a:ext>
          </a:extLst>
        </xdr:cNvPr>
        <xdr:cNvGrpSpPr/>
      </xdr:nvGrpSpPr>
      <xdr:grpSpPr>
        <a:xfrm>
          <a:off x="52917" y="186267"/>
          <a:ext cx="14255749" cy="861484"/>
          <a:chOff x="52917" y="190500"/>
          <a:chExt cx="13832416" cy="878418"/>
        </a:xfrm>
      </xdr:grpSpPr>
      <xdr:sp macro="" textlink="">
        <xdr:nvSpPr>
          <xdr:cNvPr id="4" name="Fluxograma: Processo 60">
            <a:extLst>
              <a:ext uri="{FF2B5EF4-FFF2-40B4-BE49-F238E27FC236}">
                <a16:creationId xmlns:a16="http://schemas.microsoft.com/office/drawing/2014/main" id="{00000000-0008-0000-0100-000004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5" name="Retângulo de cantos arredondados 35">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 </a:t>
            </a:r>
          </a:p>
        </xdr:txBody>
      </xdr:sp>
      <xdr:sp macro="" textlink="">
        <xdr:nvSpPr>
          <xdr:cNvPr id="6" name="Retângulo de cantos arredondados 35">
            <a:hlinkClick xmlns:r="http://schemas.openxmlformats.org/officeDocument/2006/relationships" r:id="rId3"/>
            <a:extLst>
              <a:ext uri="{FF2B5EF4-FFF2-40B4-BE49-F238E27FC236}">
                <a16:creationId xmlns:a16="http://schemas.microsoft.com/office/drawing/2014/main" id="{00000000-0008-0000-0100-000006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7" name="Retângulo de cantos arredondados 35">
            <a:hlinkClick xmlns:r="http://schemas.openxmlformats.org/officeDocument/2006/relationships" r:id="rId4"/>
            <a:extLst>
              <a:ext uri="{FF2B5EF4-FFF2-40B4-BE49-F238E27FC236}">
                <a16:creationId xmlns:a16="http://schemas.microsoft.com/office/drawing/2014/main" id="{00000000-0008-0000-0100-000007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8" name="Retângulo de cantos arredondados 35">
            <a:hlinkClick xmlns:r="http://schemas.openxmlformats.org/officeDocument/2006/relationships" r:id="rId5"/>
            <a:extLst>
              <a:ext uri="{FF2B5EF4-FFF2-40B4-BE49-F238E27FC236}">
                <a16:creationId xmlns:a16="http://schemas.microsoft.com/office/drawing/2014/main" id="{00000000-0008-0000-0100-000008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9" name="Retângulo de cantos arredondados 35">
            <a:hlinkClick xmlns:r="http://schemas.openxmlformats.org/officeDocument/2006/relationships" r:id="rId6"/>
            <a:extLst>
              <a:ext uri="{FF2B5EF4-FFF2-40B4-BE49-F238E27FC236}">
                <a16:creationId xmlns:a16="http://schemas.microsoft.com/office/drawing/2014/main" id="{00000000-0008-0000-0100-000009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10" name="Retângulo de cantos arredondados 35">
            <a:hlinkClick xmlns:r="http://schemas.openxmlformats.org/officeDocument/2006/relationships" r:id="rId7"/>
            <a:extLst>
              <a:ext uri="{FF2B5EF4-FFF2-40B4-BE49-F238E27FC236}">
                <a16:creationId xmlns:a16="http://schemas.microsoft.com/office/drawing/2014/main" id="{00000000-0008-0000-0100-00000A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11" name="Retângulo de cantos arredondados 35">
            <a:hlinkClick xmlns:r="http://schemas.openxmlformats.org/officeDocument/2006/relationships" r:id="rId8"/>
            <a:extLst>
              <a:ext uri="{FF2B5EF4-FFF2-40B4-BE49-F238E27FC236}">
                <a16:creationId xmlns:a16="http://schemas.microsoft.com/office/drawing/2014/main" id="{00000000-0008-0000-0100-00000B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12" name="Retângulo de cantos arredondados 35">
            <a:hlinkClick xmlns:r="http://schemas.openxmlformats.org/officeDocument/2006/relationships" r:id="rId9"/>
            <a:extLst>
              <a:ext uri="{FF2B5EF4-FFF2-40B4-BE49-F238E27FC236}">
                <a16:creationId xmlns:a16="http://schemas.microsoft.com/office/drawing/2014/main" id="{00000000-0008-0000-0100-00000C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13" name="Retângulo de cantos arredondados 35">
            <a:hlinkClick xmlns:r="http://schemas.openxmlformats.org/officeDocument/2006/relationships" r:id="rId9"/>
            <a:extLst>
              <a:ext uri="{FF2B5EF4-FFF2-40B4-BE49-F238E27FC236}">
                <a16:creationId xmlns:a16="http://schemas.microsoft.com/office/drawing/2014/main" id="{00000000-0008-0000-0100-00000D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14" name="Retângulo de cantos arredondados 35">
            <a:hlinkClick xmlns:r="http://schemas.openxmlformats.org/officeDocument/2006/relationships" r:id="rId10"/>
            <a:extLst>
              <a:ext uri="{FF2B5EF4-FFF2-40B4-BE49-F238E27FC236}">
                <a16:creationId xmlns:a16="http://schemas.microsoft.com/office/drawing/2014/main" id="{00000000-0008-0000-0100-00000E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15" name="Retângulo de cantos arredondados 35">
            <a:hlinkClick xmlns:r="http://schemas.openxmlformats.org/officeDocument/2006/relationships" r:id="rId11"/>
            <a:extLst>
              <a:ext uri="{FF2B5EF4-FFF2-40B4-BE49-F238E27FC236}">
                <a16:creationId xmlns:a16="http://schemas.microsoft.com/office/drawing/2014/main" id="{00000000-0008-0000-0100-00000F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16" name="Retângulo de cantos arredondados 35">
            <a:hlinkClick xmlns:r="http://schemas.openxmlformats.org/officeDocument/2006/relationships" r:id="rId12"/>
            <a:extLst>
              <a:ext uri="{FF2B5EF4-FFF2-40B4-BE49-F238E27FC236}">
                <a16:creationId xmlns:a16="http://schemas.microsoft.com/office/drawing/2014/main" id="{00000000-0008-0000-0100-000010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17" name="Retângulo de cantos arredondados 35">
            <a:hlinkClick xmlns:r="http://schemas.openxmlformats.org/officeDocument/2006/relationships" r:id="rId13"/>
            <a:extLst>
              <a:ext uri="{FF2B5EF4-FFF2-40B4-BE49-F238E27FC236}">
                <a16:creationId xmlns:a16="http://schemas.microsoft.com/office/drawing/2014/main" id="{00000000-0008-0000-0100-000011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18" name="Retângulo de cantos arredondados 35">
            <a:hlinkClick xmlns:r="http://schemas.openxmlformats.org/officeDocument/2006/relationships" r:id="rId14"/>
            <a:extLst>
              <a:ext uri="{FF2B5EF4-FFF2-40B4-BE49-F238E27FC236}">
                <a16:creationId xmlns:a16="http://schemas.microsoft.com/office/drawing/2014/main" id="{00000000-0008-0000-0100-000012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19" name="Retângulo de cantos arredondados 35">
            <a:hlinkClick xmlns:r="http://schemas.openxmlformats.org/officeDocument/2006/relationships" r:id="rId15"/>
            <a:extLst>
              <a:ext uri="{FF2B5EF4-FFF2-40B4-BE49-F238E27FC236}">
                <a16:creationId xmlns:a16="http://schemas.microsoft.com/office/drawing/2014/main" id="{00000000-0008-0000-0100-000013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20" name="Retângulo de cantos arredondados 35">
            <a:hlinkClick xmlns:r="http://schemas.openxmlformats.org/officeDocument/2006/relationships" r:id="rId16"/>
            <a:extLst>
              <a:ext uri="{FF2B5EF4-FFF2-40B4-BE49-F238E27FC236}">
                <a16:creationId xmlns:a16="http://schemas.microsoft.com/office/drawing/2014/main" id="{00000000-0008-0000-0100-000014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21" name="Retângulo de cantos arredondados 35">
            <a:hlinkClick xmlns:r="http://schemas.openxmlformats.org/officeDocument/2006/relationships" r:id="rId17"/>
            <a:extLst>
              <a:ext uri="{FF2B5EF4-FFF2-40B4-BE49-F238E27FC236}">
                <a16:creationId xmlns:a16="http://schemas.microsoft.com/office/drawing/2014/main" id="{00000000-0008-0000-0100-000015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7</xdr:row>
      <xdr:rowOff>19050</xdr:rowOff>
    </xdr:from>
    <xdr:to>
      <xdr:col>3</xdr:col>
      <xdr:colOff>304800</xdr:colOff>
      <xdr:row>10</xdr:row>
      <xdr:rowOff>166497</xdr:rowOff>
    </xdr:to>
    <xdr:pic>
      <xdr:nvPicPr>
        <xdr:cNvPr id="25" name="Imagem 24">
          <a:extLst>
            <a:ext uri="{FF2B5EF4-FFF2-40B4-BE49-F238E27FC236}">
              <a16:creationId xmlns:a16="http://schemas.microsoft.com/office/drawing/2014/main" id="{00000000-0008-0000-14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2305050"/>
          <a:ext cx="1619250" cy="718947"/>
        </a:xfrm>
        <a:prstGeom prst="rect">
          <a:avLst/>
        </a:prstGeom>
      </xdr:spPr>
    </xdr:pic>
    <xdr:clientData/>
  </xdr:twoCellAnchor>
  <xdr:twoCellAnchor>
    <xdr:from>
      <xdr:col>0</xdr:col>
      <xdr:colOff>57150</xdr:colOff>
      <xdr:row>0</xdr:row>
      <xdr:rowOff>123825</xdr:rowOff>
    </xdr:from>
    <xdr:to>
      <xdr:col>19</xdr:col>
      <xdr:colOff>733425</xdr:colOff>
      <xdr:row>5</xdr:row>
      <xdr:rowOff>49743</xdr:rowOff>
    </xdr:to>
    <xdr:grpSp>
      <xdr:nvGrpSpPr>
        <xdr:cNvPr id="22" name="Grupo 21">
          <a:extLst>
            <a:ext uri="{FF2B5EF4-FFF2-40B4-BE49-F238E27FC236}">
              <a16:creationId xmlns:a16="http://schemas.microsoft.com/office/drawing/2014/main" id="{00000000-0008-0000-1400-000016000000}"/>
            </a:ext>
          </a:extLst>
        </xdr:cNvPr>
        <xdr:cNvGrpSpPr/>
      </xdr:nvGrpSpPr>
      <xdr:grpSpPr>
        <a:xfrm>
          <a:off x="57150" y="123825"/>
          <a:ext cx="12741275" cy="878418"/>
          <a:chOff x="52917" y="190500"/>
          <a:chExt cx="13832416" cy="878418"/>
        </a:xfrm>
      </xdr:grpSpPr>
      <xdr:sp macro="" textlink="">
        <xdr:nvSpPr>
          <xdr:cNvPr id="23" name="Fluxograma: Processo 60">
            <a:extLst>
              <a:ext uri="{FF2B5EF4-FFF2-40B4-BE49-F238E27FC236}">
                <a16:creationId xmlns:a16="http://schemas.microsoft.com/office/drawing/2014/main" id="{00000000-0008-0000-1400-000017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24" name="Retângulo de cantos arredondados 35">
            <a:hlinkClick xmlns:r="http://schemas.openxmlformats.org/officeDocument/2006/relationships" r:id="rId2"/>
            <a:extLst>
              <a:ext uri="{FF2B5EF4-FFF2-40B4-BE49-F238E27FC236}">
                <a16:creationId xmlns:a16="http://schemas.microsoft.com/office/drawing/2014/main" id="{00000000-0008-0000-1400-000018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 (geral)</a:t>
            </a:r>
          </a:p>
        </xdr:txBody>
      </xdr:sp>
      <xdr:sp macro="" textlink="">
        <xdr:nvSpPr>
          <xdr:cNvPr id="45" name="Retângulo de cantos arredondados 35">
            <a:hlinkClick xmlns:r="http://schemas.openxmlformats.org/officeDocument/2006/relationships" r:id="rId3"/>
            <a:extLst>
              <a:ext uri="{FF2B5EF4-FFF2-40B4-BE49-F238E27FC236}">
                <a16:creationId xmlns:a16="http://schemas.microsoft.com/office/drawing/2014/main" id="{00000000-0008-0000-1400-00002D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46" name="Retângulo de cantos arredondados 35">
            <a:hlinkClick xmlns:r="http://schemas.openxmlformats.org/officeDocument/2006/relationships" r:id="rId4"/>
            <a:extLst>
              <a:ext uri="{FF2B5EF4-FFF2-40B4-BE49-F238E27FC236}">
                <a16:creationId xmlns:a16="http://schemas.microsoft.com/office/drawing/2014/main" id="{00000000-0008-0000-1400-00002E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47" name="Retângulo de cantos arredondados 35">
            <a:hlinkClick xmlns:r="http://schemas.openxmlformats.org/officeDocument/2006/relationships" r:id="rId5"/>
            <a:extLst>
              <a:ext uri="{FF2B5EF4-FFF2-40B4-BE49-F238E27FC236}">
                <a16:creationId xmlns:a16="http://schemas.microsoft.com/office/drawing/2014/main" id="{00000000-0008-0000-1400-00002F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48" name="Retângulo de cantos arredondados 35">
            <a:hlinkClick xmlns:r="http://schemas.openxmlformats.org/officeDocument/2006/relationships" r:id="rId6"/>
            <a:extLst>
              <a:ext uri="{FF2B5EF4-FFF2-40B4-BE49-F238E27FC236}">
                <a16:creationId xmlns:a16="http://schemas.microsoft.com/office/drawing/2014/main" id="{00000000-0008-0000-1400-000030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49" name="Retângulo de cantos arredondados 35">
            <a:hlinkClick xmlns:r="http://schemas.openxmlformats.org/officeDocument/2006/relationships" r:id="rId7"/>
            <a:extLst>
              <a:ext uri="{FF2B5EF4-FFF2-40B4-BE49-F238E27FC236}">
                <a16:creationId xmlns:a16="http://schemas.microsoft.com/office/drawing/2014/main" id="{00000000-0008-0000-1400-000031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0" name="Retângulo de cantos arredondados 35">
            <a:hlinkClick xmlns:r="http://schemas.openxmlformats.org/officeDocument/2006/relationships" r:id="rId8"/>
            <a:extLst>
              <a:ext uri="{FF2B5EF4-FFF2-40B4-BE49-F238E27FC236}">
                <a16:creationId xmlns:a16="http://schemas.microsoft.com/office/drawing/2014/main" id="{00000000-0008-0000-1400-000032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1" name="Retângulo de cantos arredondados 50">
            <a:hlinkClick xmlns:r="http://schemas.openxmlformats.org/officeDocument/2006/relationships" r:id="rId9"/>
            <a:extLst>
              <a:ext uri="{FF2B5EF4-FFF2-40B4-BE49-F238E27FC236}">
                <a16:creationId xmlns:a16="http://schemas.microsoft.com/office/drawing/2014/main" id="{00000000-0008-0000-1400-000033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52" name="Retângulo de cantos arredondados 35">
            <a:hlinkClick xmlns:r="http://schemas.openxmlformats.org/officeDocument/2006/relationships" r:id="rId9"/>
            <a:extLst>
              <a:ext uri="{FF2B5EF4-FFF2-40B4-BE49-F238E27FC236}">
                <a16:creationId xmlns:a16="http://schemas.microsoft.com/office/drawing/2014/main" id="{00000000-0008-0000-1400-000034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53" name="Retângulo de cantos arredondados 35">
            <a:hlinkClick xmlns:r="http://schemas.openxmlformats.org/officeDocument/2006/relationships" r:id="rId10"/>
            <a:extLst>
              <a:ext uri="{FF2B5EF4-FFF2-40B4-BE49-F238E27FC236}">
                <a16:creationId xmlns:a16="http://schemas.microsoft.com/office/drawing/2014/main" id="{00000000-0008-0000-1400-000035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54" name="Retângulo de cantos arredondados 35">
            <a:hlinkClick xmlns:r="http://schemas.openxmlformats.org/officeDocument/2006/relationships" r:id="rId11"/>
            <a:extLst>
              <a:ext uri="{FF2B5EF4-FFF2-40B4-BE49-F238E27FC236}">
                <a16:creationId xmlns:a16="http://schemas.microsoft.com/office/drawing/2014/main" id="{00000000-0008-0000-1400-000036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55" name="Retângulo de cantos arredondados 35">
            <a:hlinkClick xmlns:r="http://schemas.openxmlformats.org/officeDocument/2006/relationships" r:id="rId12"/>
            <a:extLst>
              <a:ext uri="{FF2B5EF4-FFF2-40B4-BE49-F238E27FC236}">
                <a16:creationId xmlns:a16="http://schemas.microsoft.com/office/drawing/2014/main" id="{00000000-0008-0000-1400-000037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56" name="Retângulo de cantos arredondados 35">
            <a:hlinkClick xmlns:r="http://schemas.openxmlformats.org/officeDocument/2006/relationships" r:id="rId13"/>
            <a:extLst>
              <a:ext uri="{FF2B5EF4-FFF2-40B4-BE49-F238E27FC236}">
                <a16:creationId xmlns:a16="http://schemas.microsoft.com/office/drawing/2014/main" id="{00000000-0008-0000-1400-000038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57" name="Retângulo de cantos arredondados 35">
            <a:hlinkClick xmlns:r="http://schemas.openxmlformats.org/officeDocument/2006/relationships" r:id="rId14"/>
            <a:extLst>
              <a:ext uri="{FF2B5EF4-FFF2-40B4-BE49-F238E27FC236}">
                <a16:creationId xmlns:a16="http://schemas.microsoft.com/office/drawing/2014/main" id="{00000000-0008-0000-1400-000039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58" name="Retângulo de cantos arredondados 35">
            <a:hlinkClick xmlns:r="http://schemas.openxmlformats.org/officeDocument/2006/relationships" r:id="rId15"/>
            <a:extLst>
              <a:ext uri="{FF2B5EF4-FFF2-40B4-BE49-F238E27FC236}">
                <a16:creationId xmlns:a16="http://schemas.microsoft.com/office/drawing/2014/main" id="{00000000-0008-0000-1400-00003A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59" name="Retângulo de cantos arredondados 35">
            <a:hlinkClick xmlns:r="http://schemas.openxmlformats.org/officeDocument/2006/relationships" r:id="rId16"/>
            <a:extLst>
              <a:ext uri="{FF2B5EF4-FFF2-40B4-BE49-F238E27FC236}">
                <a16:creationId xmlns:a16="http://schemas.microsoft.com/office/drawing/2014/main" id="{00000000-0008-0000-1400-00003B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60" name="Retângulo de cantos arredondados 35">
            <a:hlinkClick xmlns:r="http://schemas.openxmlformats.org/officeDocument/2006/relationships" r:id="rId17"/>
            <a:extLst>
              <a:ext uri="{FF2B5EF4-FFF2-40B4-BE49-F238E27FC236}">
                <a16:creationId xmlns:a16="http://schemas.microsoft.com/office/drawing/2014/main" id="{00000000-0008-0000-1400-00003C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5</xdr:row>
      <xdr:rowOff>127000</xdr:rowOff>
    </xdr:from>
    <xdr:to>
      <xdr:col>10</xdr:col>
      <xdr:colOff>114300</xdr:colOff>
      <xdr:row>7</xdr:row>
      <xdr:rowOff>455422</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079500"/>
          <a:ext cx="1587500" cy="720005"/>
        </a:xfrm>
        <a:prstGeom prst="rect">
          <a:avLst/>
        </a:prstGeom>
      </xdr:spPr>
    </xdr:pic>
    <xdr:clientData/>
  </xdr:twoCellAnchor>
  <xdr:twoCellAnchor>
    <xdr:from>
      <xdr:col>0</xdr:col>
      <xdr:colOff>52917</xdr:colOff>
      <xdr:row>1</xdr:row>
      <xdr:rowOff>0</xdr:rowOff>
    </xdr:from>
    <xdr:to>
      <xdr:col>31</xdr:col>
      <xdr:colOff>1058333</xdr:colOff>
      <xdr:row>5</xdr:row>
      <xdr:rowOff>116418</xdr:rowOff>
    </xdr:to>
    <xdr:grpSp>
      <xdr:nvGrpSpPr>
        <xdr:cNvPr id="11" name="Grupo 10">
          <a:extLst>
            <a:ext uri="{FF2B5EF4-FFF2-40B4-BE49-F238E27FC236}">
              <a16:creationId xmlns:a16="http://schemas.microsoft.com/office/drawing/2014/main" id="{00000000-0008-0000-0200-00000B000000}"/>
            </a:ext>
          </a:extLst>
        </xdr:cNvPr>
        <xdr:cNvGrpSpPr/>
      </xdr:nvGrpSpPr>
      <xdr:grpSpPr>
        <a:xfrm>
          <a:off x="52917" y="186267"/>
          <a:ext cx="14255749" cy="861484"/>
          <a:chOff x="52917" y="190500"/>
          <a:chExt cx="13832416" cy="878418"/>
        </a:xfrm>
      </xdr:grpSpPr>
      <xdr:sp macro="" textlink="">
        <xdr:nvSpPr>
          <xdr:cNvPr id="39" name="Fluxograma: Processo 60">
            <a:extLst>
              <a:ext uri="{FF2B5EF4-FFF2-40B4-BE49-F238E27FC236}">
                <a16:creationId xmlns:a16="http://schemas.microsoft.com/office/drawing/2014/main" id="{00000000-0008-0000-0200-000027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40" name="Retângulo de cantos arredondados 35">
            <a:hlinkClick xmlns:r="http://schemas.openxmlformats.org/officeDocument/2006/relationships" r:id="rId2"/>
            <a:extLst>
              <a:ext uri="{FF2B5EF4-FFF2-40B4-BE49-F238E27FC236}">
                <a16:creationId xmlns:a16="http://schemas.microsoft.com/office/drawing/2014/main" id="{00000000-0008-0000-0200-000028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a:t>
            </a:r>
          </a:p>
        </xdr:txBody>
      </xdr:sp>
      <xdr:sp macro="" textlink="">
        <xdr:nvSpPr>
          <xdr:cNvPr id="45" name="Retângulo de cantos arredondados 35">
            <a:hlinkClick xmlns:r="http://schemas.openxmlformats.org/officeDocument/2006/relationships" r:id="rId3"/>
            <a:extLst>
              <a:ext uri="{FF2B5EF4-FFF2-40B4-BE49-F238E27FC236}">
                <a16:creationId xmlns:a16="http://schemas.microsoft.com/office/drawing/2014/main" id="{00000000-0008-0000-0200-00002D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48" name="Retângulo de cantos arredondados 35">
            <a:hlinkClick xmlns:r="http://schemas.openxmlformats.org/officeDocument/2006/relationships" r:id="rId4"/>
            <a:extLst>
              <a:ext uri="{FF2B5EF4-FFF2-40B4-BE49-F238E27FC236}">
                <a16:creationId xmlns:a16="http://schemas.microsoft.com/office/drawing/2014/main" id="{00000000-0008-0000-0200-000030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49" name="Retângulo de cantos arredondados 35">
            <a:hlinkClick xmlns:r="http://schemas.openxmlformats.org/officeDocument/2006/relationships" r:id="rId5"/>
            <a:extLst>
              <a:ext uri="{FF2B5EF4-FFF2-40B4-BE49-F238E27FC236}">
                <a16:creationId xmlns:a16="http://schemas.microsoft.com/office/drawing/2014/main" id="{00000000-0008-0000-0200-000031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50" name="Retângulo de cantos arredondados 35">
            <a:hlinkClick xmlns:r="http://schemas.openxmlformats.org/officeDocument/2006/relationships" r:id="rId6"/>
            <a:extLst>
              <a:ext uri="{FF2B5EF4-FFF2-40B4-BE49-F238E27FC236}">
                <a16:creationId xmlns:a16="http://schemas.microsoft.com/office/drawing/2014/main" id="{00000000-0008-0000-0200-000032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55" name="Retângulo de cantos arredondados 35">
            <a:hlinkClick xmlns:r="http://schemas.openxmlformats.org/officeDocument/2006/relationships" r:id="rId7"/>
            <a:extLst>
              <a:ext uri="{FF2B5EF4-FFF2-40B4-BE49-F238E27FC236}">
                <a16:creationId xmlns:a16="http://schemas.microsoft.com/office/drawing/2014/main" id="{00000000-0008-0000-0200-000037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8" name="Retângulo de cantos arredondados 35">
            <a:hlinkClick xmlns:r="http://schemas.openxmlformats.org/officeDocument/2006/relationships" r:id="rId8"/>
            <a:extLst>
              <a:ext uri="{FF2B5EF4-FFF2-40B4-BE49-F238E27FC236}">
                <a16:creationId xmlns:a16="http://schemas.microsoft.com/office/drawing/2014/main" id="{00000000-0008-0000-0200-00003A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9" name="Retângulo de cantos arredondados 35">
            <a:hlinkClick xmlns:r="http://schemas.openxmlformats.org/officeDocument/2006/relationships" r:id="rId9"/>
            <a:extLst>
              <a:ext uri="{FF2B5EF4-FFF2-40B4-BE49-F238E27FC236}">
                <a16:creationId xmlns:a16="http://schemas.microsoft.com/office/drawing/2014/main" id="{00000000-0008-0000-0200-00003B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60" name="Retângulo de cantos arredondados 35">
            <a:hlinkClick xmlns:r="http://schemas.openxmlformats.org/officeDocument/2006/relationships" r:id="rId9"/>
            <a:extLst>
              <a:ext uri="{FF2B5EF4-FFF2-40B4-BE49-F238E27FC236}">
                <a16:creationId xmlns:a16="http://schemas.microsoft.com/office/drawing/2014/main" id="{00000000-0008-0000-0200-00003C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61" name="Retângulo de cantos arredondados 35">
            <a:hlinkClick xmlns:r="http://schemas.openxmlformats.org/officeDocument/2006/relationships" r:id="rId10"/>
            <a:extLst>
              <a:ext uri="{FF2B5EF4-FFF2-40B4-BE49-F238E27FC236}">
                <a16:creationId xmlns:a16="http://schemas.microsoft.com/office/drawing/2014/main" id="{00000000-0008-0000-0200-00003D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62" name="Retângulo de cantos arredondados 35">
            <a:hlinkClick xmlns:r="http://schemas.openxmlformats.org/officeDocument/2006/relationships" r:id="rId11"/>
            <a:extLst>
              <a:ext uri="{FF2B5EF4-FFF2-40B4-BE49-F238E27FC236}">
                <a16:creationId xmlns:a16="http://schemas.microsoft.com/office/drawing/2014/main" id="{00000000-0008-0000-0200-00003E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63" name="Retângulo de cantos arredondados 35">
            <a:hlinkClick xmlns:r="http://schemas.openxmlformats.org/officeDocument/2006/relationships" r:id="rId12"/>
            <a:extLst>
              <a:ext uri="{FF2B5EF4-FFF2-40B4-BE49-F238E27FC236}">
                <a16:creationId xmlns:a16="http://schemas.microsoft.com/office/drawing/2014/main" id="{00000000-0008-0000-0200-00003F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4" name="Retângulo de cantos arredondados 35">
            <a:hlinkClick xmlns:r="http://schemas.openxmlformats.org/officeDocument/2006/relationships" r:id="rId13"/>
            <a:extLst>
              <a:ext uri="{FF2B5EF4-FFF2-40B4-BE49-F238E27FC236}">
                <a16:creationId xmlns:a16="http://schemas.microsoft.com/office/drawing/2014/main" id="{00000000-0008-0000-0200-000040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7" name="Retângulo de cantos arredondados 35">
            <a:hlinkClick xmlns:r="http://schemas.openxmlformats.org/officeDocument/2006/relationships" r:id="rId14"/>
            <a:extLst>
              <a:ext uri="{FF2B5EF4-FFF2-40B4-BE49-F238E27FC236}">
                <a16:creationId xmlns:a16="http://schemas.microsoft.com/office/drawing/2014/main" id="{00000000-0008-0000-0200-000043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68" name="Retângulo de cantos arredondados 35">
            <a:hlinkClick xmlns:r="http://schemas.openxmlformats.org/officeDocument/2006/relationships" r:id="rId15"/>
            <a:extLst>
              <a:ext uri="{FF2B5EF4-FFF2-40B4-BE49-F238E27FC236}">
                <a16:creationId xmlns:a16="http://schemas.microsoft.com/office/drawing/2014/main" id="{00000000-0008-0000-0200-000044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69" name="Retângulo de cantos arredondados 35">
            <a:hlinkClick xmlns:r="http://schemas.openxmlformats.org/officeDocument/2006/relationships" r:id="rId16"/>
            <a:extLst>
              <a:ext uri="{FF2B5EF4-FFF2-40B4-BE49-F238E27FC236}">
                <a16:creationId xmlns:a16="http://schemas.microsoft.com/office/drawing/2014/main" id="{00000000-0008-0000-0200-000045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100" name="Retângulo de cantos arredondados 35">
            <a:hlinkClick xmlns:r="http://schemas.openxmlformats.org/officeDocument/2006/relationships" r:id="rId17"/>
            <a:extLst>
              <a:ext uri="{FF2B5EF4-FFF2-40B4-BE49-F238E27FC236}">
                <a16:creationId xmlns:a16="http://schemas.microsoft.com/office/drawing/2014/main" id="{00000000-0008-0000-0200-000064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26</xdr:row>
          <xdr:rowOff>175260</xdr:rowOff>
        </xdr:from>
        <xdr:to>
          <xdr:col>2</xdr:col>
          <xdr:colOff>2788920</xdr:colOff>
          <xdr:row>26</xdr:row>
          <xdr:rowOff>335280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AR" sz="800" b="0" i="0" u="none" strike="noStrike" baseline="0">
                  <a:solidFill>
                    <a:srgbClr val="000000"/>
                  </a:solidFill>
                  <a:latin typeface="Segoe UI"/>
                  <a:cs typeface="Segoe UI"/>
                </a:rPr>
                <a:t>Provisão de água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335280</xdr:rowOff>
        </xdr:from>
        <xdr:to>
          <xdr:col>2</xdr:col>
          <xdr:colOff>2827020</xdr:colOff>
          <xdr:row>26</xdr:row>
          <xdr:rowOff>525780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AR" sz="800" b="0" i="0" u="none" strike="noStrike" baseline="0">
                  <a:solidFill>
                    <a:srgbClr val="000000"/>
                  </a:solidFill>
                  <a:latin typeface="Segoe UI"/>
                  <a:cs typeface="Segoe UI"/>
                </a:rPr>
                <a:t>Provisão de biomassa combustível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495300</xdr:rowOff>
        </xdr:from>
        <xdr:to>
          <xdr:col>2</xdr:col>
          <xdr:colOff>2849880</xdr:colOff>
          <xdr:row>26</xdr:row>
          <xdr:rowOff>708660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AR" sz="800" b="0" i="0" u="none" strike="noStrike" baseline="0">
                  <a:solidFill>
                    <a:srgbClr val="000000"/>
                  </a:solidFill>
                  <a:latin typeface="Segoe UI"/>
                  <a:cs typeface="Segoe UI"/>
                </a:rPr>
                <a:t>Regulação da qualidadade da água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25</xdr:row>
          <xdr:rowOff>160020</xdr:rowOff>
        </xdr:from>
        <xdr:to>
          <xdr:col>2</xdr:col>
          <xdr:colOff>2918460</xdr:colOff>
          <xdr:row>26</xdr:row>
          <xdr:rowOff>190500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AR" sz="800" b="0" i="0" u="none" strike="noStrike" baseline="0">
                  <a:solidFill>
                    <a:srgbClr val="000000"/>
                  </a:solidFill>
                  <a:latin typeface="Segoe UI"/>
                  <a:cs typeface="Segoe UI"/>
                </a:rPr>
                <a:t>Outros serviços de provisão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670560</xdr:rowOff>
        </xdr:from>
        <xdr:to>
          <xdr:col>2</xdr:col>
          <xdr:colOff>2865120</xdr:colOff>
          <xdr:row>26</xdr:row>
          <xdr:rowOff>868680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AR" sz="800" b="0" i="0" u="none" strike="noStrike" baseline="0">
                  <a:solidFill>
                    <a:srgbClr val="000000"/>
                  </a:solidFill>
                  <a:latin typeface="Segoe UI"/>
                  <a:cs typeface="Segoe UI"/>
                </a:rPr>
                <a:t>Assimilação da efluentes líquidos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845820</xdr:rowOff>
        </xdr:from>
        <xdr:to>
          <xdr:col>2</xdr:col>
          <xdr:colOff>2887980</xdr:colOff>
          <xdr:row>26</xdr:row>
          <xdr:rowOff>1028700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AR" sz="800" b="0" i="0" u="none" strike="noStrike" baseline="0">
                  <a:solidFill>
                    <a:srgbClr val="000000"/>
                  </a:solidFill>
                  <a:latin typeface="Segoe UI"/>
                  <a:cs typeface="Segoe UI"/>
                </a:rPr>
                <a:t>Regulação do clima global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1028700</xdr:rowOff>
        </xdr:from>
        <xdr:to>
          <xdr:col>3</xdr:col>
          <xdr:colOff>0</xdr:colOff>
          <xdr:row>26</xdr:row>
          <xdr:rowOff>1226820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AR" sz="800" b="0" i="0" u="none" strike="noStrike" baseline="0">
                  <a:solidFill>
                    <a:srgbClr val="000000"/>
                  </a:solidFill>
                  <a:latin typeface="Segoe UI"/>
                  <a:cs typeface="Segoe UI"/>
                </a:rPr>
                <a:t>Regulação da polinização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1211580</xdr:rowOff>
        </xdr:from>
        <xdr:to>
          <xdr:col>3</xdr:col>
          <xdr:colOff>30480</xdr:colOff>
          <xdr:row>26</xdr:row>
          <xdr:rowOff>1432560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AR" sz="800" b="0" i="0" u="none" strike="noStrike" baseline="0">
                  <a:solidFill>
                    <a:srgbClr val="000000"/>
                  </a:solidFill>
                  <a:latin typeface="Segoe UI"/>
                  <a:cs typeface="Segoe UI"/>
                </a:rPr>
                <a:t>Regulação da erosão do solo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1409700</xdr:rowOff>
        </xdr:from>
        <xdr:to>
          <xdr:col>2</xdr:col>
          <xdr:colOff>2849880</xdr:colOff>
          <xdr:row>26</xdr:row>
          <xdr:rowOff>1584960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AR" sz="800" b="0" i="0" u="none" strike="noStrike" baseline="0">
                  <a:solidFill>
                    <a:srgbClr val="000000"/>
                  </a:solidFill>
                  <a:latin typeface="Segoe UI"/>
                  <a:cs typeface="Segoe UI"/>
                </a:rPr>
                <a:t>Recreação e turismo</a:t>
              </a:r>
            </a:p>
          </xdr:txBody>
        </xdr:sp>
        <xdr:clientData/>
      </xdr:twoCellAnchor>
    </mc:Choice>
    <mc:Fallback/>
  </mc:AlternateContent>
  <xdr:twoCellAnchor editAs="oneCell">
    <xdr:from>
      <xdr:col>0</xdr:col>
      <xdr:colOff>47624</xdr:colOff>
      <xdr:row>4</xdr:row>
      <xdr:rowOff>187327</xdr:rowOff>
    </xdr:from>
    <xdr:to>
      <xdr:col>1</xdr:col>
      <xdr:colOff>1465791</xdr:colOff>
      <xdr:row>8</xdr:row>
      <xdr:rowOff>147449</xdr:rowOff>
    </xdr:to>
    <xdr:pic>
      <xdr:nvPicPr>
        <xdr:cNvPr id="35" name="Imagem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4" y="949327"/>
          <a:ext cx="1619250" cy="722122"/>
        </a:xfrm>
        <a:prstGeom prst="rect">
          <a:avLst/>
        </a:prstGeom>
      </xdr:spPr>
    </xdr:pic>
    <xdr:clientData/>
  </xdr:twoCellAnchor>
  <xdr:twoCellAnchor>
    <xdr:from>
      <xdr:col>0</xdr:col>
      <xdr:colOff>74085</xdr:colOff>
      <xdr:row>0</xdr:row>
      <xdr:rowOff>84667</xdr:rowOff>
    </xdr:from>
    <xdr:to>
      <xdr:col>7</xdr:col>
      <xdr:colOff>645584</xdr:colOff>
      <xdr:row>4</xdr:row>
      <xdr:rowOff>116417</xdr:rowOff>
    </xdr:to>
    <xdr:grpSp>
      <xdr:nvGrpSpPr>
        <xdr:cNvPr id="36" name="Grupo 35">
          <a:extLst>
            <a:ext uri="{FF2B5EF4-FFF2-40B4-BE49-F238E27FC236}">
              <a16:creationId xmlns:a16="http://schemas.microsoft.com/office/drawing/2014/main" id="{00000000-0008-0000-0300-000024000000}"/>
            </a:ext>
          </a:extLst>
        </xdr:cNvPr>
        <xdr:cNvGrpSpPr/>
      </xdr:nvGrpSpPr>
      <xdr:grpSpPr>
        <a:xfrm>
          <a:off x="74085" y="84667"/>
          <a:ext cx="13186832" cy="776817"/>
          <a:chOff x="52917" y="190500"/>
          <a:chExt cx="13832416" cy="878418"/>
        </a:xfrm>
      </xdr:grpSpPr>
      <xdr:sp macro="" textlink="">
        <xdr:nvSpPr>
          <xdr:cNvPr id="37" name="Fluxograma: Processo 60">
            <a:extLst>
              <a:ext uri="{FF2B5EF4-FFF2-40B4-BE49-F238E27FC236}">
                <a16:creationId xmlns:a16="http://schemas.microsoft.com/office/drawing/2014/main" id="{00000000-0008-0000-0300-000025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38" name="Retângulo de cantos arredondados 35">
            <a:hlinkClick xmlns:r="http://schemas.openxmlformats.org/officeDocument/2006/relationships" r:id="rId2"/>
            <a:extLst>
              <a:ext uri="{FF2B5EF4-FFF2-40B4-BE49-F238E27FC236}">
                <a16:creationId xmlns:a16="http://schemas.microsoft.com/office/drawing/2014/main" id="{00000000-0008-0000-0300-000026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 (geral)</a:t>
            </a:r>
          </a:p>
        </xdr:txBody>
      </xdr:sp>
      <xdr:sp macro="" textlink="">
        <xdr:nvSpPr>
          <xdr:cNvPr id="39" name="Retângulo de cantos arredondados 35">
            <a:hlinkClick xmlns:r="http://schemas.openxmlformats.org/officeDocument/2006/relationships" r:id="rId3"/>
            <a:extLst>
              <a:ext uri="{FF2B5EF4-FFF2-40B4-BE49-F238E27FC236}">
                <a16:creationId xmlns:a16="http://schemas.microsoft.com/office/drawing/2014/main" id="{00000000-0008-0000-0300-000027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40" name="Retângulo de cantos arredondados 35">
            <a:hlinkClick xmlns:r="http://schemas.openxmlformats.org/officeDocument/2006/relationships" r:id="rId4"/>
            <a:extLst>
              <a:ext uri="{FF2B5EF4-FFF2-40B4-BE49-F238E27FC236}">
                <a16:creationId xmlns:a16="http://schemas.microsoft.com/office/drawing/2014/main" id="{00000000-0008-0000-0300-000028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41" name="Retângulo de cantos arredondados 35">
            <a:hlinkClick xmlns:r="http://schemas.openxmlformats.org/officeDocument/2006/relationships" r:id="rId5"/>
            <a:extLst>
              <a:ext uri="{FF2B5EF4-FFF2-40B4-BE49-F238E27FC236}">
                <a16:creationId xmlns:a16="http://schemas.microsoft.com/office/drawing/2014/main" id="{00000000-0008-0000-0300-000029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42" name="Retângulo de cantos arredondados 35">
            <a:hlinkClick xmlns:r="http://schemas.openxmlformats.org/officeDocument/2006/relationships" r:id="rId6"/>
            <a:extLst>
              <a:ext uri="{FF2B5EF4-FFF2-40B4-BE49-F238E27FC236}">
                <a16:creationId xmlns:a16="http://schemas.microsoft.com/office/drawing/2014/main" id="{00000000-0008-0000-0300-00002A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43" name="Retângulo de cantos arredondados 35">
            <a:hlinkClick xmlns:r="http://schemas.openxmlformats.org/officeDocument/2006/relationships" r:id="rId7"/>
            <a:extLst>
              <a:ext uri="{FF2B5EF4-FFF2-40B4-BE49-F238E27FC236}">
                <a16:creationId xmlns:a16="http://schemas.microsoft.com/office/drawing/2014/main" id="{00000000-0008-0000-0300-00002B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44" name="Retângulo de cantos arredondados 35">
            <a:hlinkClick xmlns:r="http://schemas.openxmlformats.org/officeDocument/2006/relationships" r:id="rId8"/>
            <a:extLst>
              <a:ext uri="{FF2B5EF4-FFF2-40B4-BE49-F238E27FC236}">
                <a16:creationId xmlns:a16="http://schemas.microsoft.com/office/drawing/2014/main" id="{00000000-0008-0000-0300-00002C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45" name="Retângulo de cantos arredondados 35">
            <a:hlinkClick xmlns:r="http://schemas.openxmlformats.org/officeDocument/2006/relationships" r:id="rId9"/>
            <a:extLst>
              <a:ext uri="{FF2B5EF4-FFF2-40B4-BE49-F238E27FC236}">
                <a16:creationId xmlns:a16="http://schemas.microsoft.com/office/drawing/2014/main" id="{00000000-0008-0000-0300-00002D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46" name="Retângulo de cantos arredondados 35">
            <a:hlinkClick xmlns:r="http://schemas.openxmlformats.org/officeDocument/2006/relationships" r:id="rId9"/>
            <a:extLst>
              <a:ext uri="{FF2B5EF4-FFF2-40B4-BE49-F238E27FC236}">
                <a16:creationId xmlns:a16="http://schemas.microsoft.com/office/drawing/2014/main" id="{00000000-0008-0000-0300-00002E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47" name="Retângulo de cantos arredondados 35">
            <a:hlinkClick xmlns:r="http://schemas.openxmlformats.org/officeDocument/2006/relationships" r:id="rId10"/>
            <a:extLst>
              <a:ext uri="{FF2B5EF4-FFF2-40B4-BE49-F238E27FC236}">
                <a16:creationId xmlns:a16="http://schemas.microsoft.com/office/drawing/2014/main" id="{00000000-0008-0000-0300-00002F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48" name="Retângulo de cantos arredondados 35">
            <a:hlinkClick xmlns:r="http://schemas.openxmlformats.org/officeDocument/2006/relationships" r:id="rId11"/>
            <a:extLst>
              <a:ext uri="{FF2B5EF4-FFF2-40B4-BE49-F238E27FC236}">
                <a16:creationId xmlns:a16="http://schemas.microsoft.com/office/drawing/2014/main" id="{00000000-0008-0000-0300-000030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49" name="Retângulo de cantos arredondados 35">
            <a:hlinkClick xmlns:r="http://schemas.openxmlformats.org/officeDocument/2006/relationships" r:id="rId12"/>
            <a:extLst>
              <a:ext uri="{FF2B5EF4-FFF2-40B4-BE49-F238E27FC236}">
                <a16:creationId xmlns:a16="http://schemas.microsoft.com/office/drawing/2014/main" id="{00000000-0008-0000-0300-000031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50" name="Retângulo de cantos arredondados 35">
            <a:hlinkClick xmlns:r="http://schemas.openxmlformats.org/officeDocument/2006/relationships" r:id="rId13"/>
            <a:extLst>
              <a:ext uri="{FF2B5EF4-FFF2-40B4-BE49-F238E27FC236}">
                <a16:creationId xmlns:a16="http://schemas.microsoft.com/office/drawing/2014/main" id="{00000000-0008-0000-0300-000032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51" name="Retângulo de cantos arredondados 35">
            <a:hlinkClick xmlns:r="http://schemas.openxmlformats.org/officeDocument/2006/relationships" r:id="rId14"/>
            <a:extLst>
              <a:ext uri="{FF2B5EF4-FFF2-40B4-BE49-F238E27FC236}">
                <a16:creationId xmlns:a16="http://schemas.microsoft.com/office/drawing/2014/main" id="{00000000-0008-0000-0300-000033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52" name="Retângulo de cantos arredondados 35">
            <a:hlinkClick xmlns:r="http://schemas.openxmlformats.org/officeDocument/2006/relationships" r:id="rId15"/>
            <a:extLst>
              <a:ext uri="{FF2B5EF4-FFF2-40B4-BE49-F238E27FC236}">
                <a16:creationId xmlns:a16="http://schemas.microsoft.com/office/drawing/2014/main" id="{00000000-0008-0000-0300-000034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53" name="Retângulo de cantos arredondados 35">
            <a:hlinkClick xmlns:r="http://schemas.openxmlformats.org/officeDocument/2006/relationships" r:id="rId16"/>
            <a:extLst>
              <a:ext uri="{FF2B5EF4-FFF2-40B4-BE49-F238E27FC236}">
                <a16:creationId xmlns:a16="http://schemas.microsoft.com/office/drawing/2014/main" id="{00000000-0008-0000-0300-000035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54" name="Retângulo de cantos arredondados 35">
            <a:hlinkClick xmlns:r="http://schemas.openxmlformats.org/officeDocument/2006/relationships" r:id="rId17"/>
            <a:extLst>
              <a:ext uri="{FF2B5EF4-FFF2-40B4-BE49-F238E27FC236}">
                <a16:creationId xmlns:a16="http://schemas.microsoft.com/office/drawing/2014/main" id="{00000000-0008-0000-0300-000036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74083</xdr:colOff>
      <xdr:row>8</xdr:row>
      <xdr:rowOff>58209</xdr:rowOff>
    </xdr:from>
    <xdr:to>
      <xdr:col>2</xdr:col>
      <xdr:colOff>340783</xdr:colOff>
      <xdr:row>10</xdr:row>
      <xdr:rowOff>337948</xdr:rowOff>
    </xdr:to>
    <xdr:pic>
      <xdr:nvPicPr>
        <xdr:cNvPr id="26" name="Imagem 25">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083" y="1592792"/>
          <a:ext cx="1610783" cy="724239"/>
        </a:xfrm>
        <a:prstGeom prst="rect">
          <a:avLst/>
        </a:prstGeom>
      </xdr:spPr>
    </xdr:pic>
    <xdr:clientData/>
  </xdr:twoCellAnchor>
  <xdr:twoCellAnchor>
    <xdr:from>
      <xdr:col>0</xdr:col>
      <xdr:colOff>0</xdr:colOff>
      <xdr:row>0</xdr:row>
      <xdr:rowOff>164306</xdr:rowOff>
    </xdr:from>
    <xdr:to>
      <xdr:col>14</xdr:col>
      <xdr:colOff>0</xdr:colOff>
      <xdr:row>5</xdr:row>
      <xdr:rowOff>90224</xdr:rowOff>
    </xdr:to>
    <xdr:grpSp>
      <xdr:nvGrpSpPr>
        <xdr:cNvPr id="27" name="Grupo 26">
          <a:extLst>
            <a:ext uri="{FF2B5EF4-FFF2-40B4-BE49-F238E27FC236}">
              <a16:creationId xmlns:a16="http://schemas.microsoft.com/office/drawing/2014/main" id="{00000000-0008-0000-0400-00001B000000}"/>
            </a:ext>
          </a:extLst>
        </xdr:cNvPr>
        <xdr:cNvGrpSpPr/>
      </xdr:nvGrpSpPr>
      <xdr:grpSpPr>
        <a:xfrm>
          <a:off x="0" y="164306"/>
          <a:ext cx="13311188" cy="878418"/>
          <a:chOff x="52917" y="190500"/>
          <a:chExt cx="13832416" cy="878418"/>
        </a:xfrm>
      </xdr:grpSpPr>
      <xdr:sp macro="" textlink="">
        <xdr:nvSpPr>
          <xdr:cNvPr id="28" name="Fluxograma: Processo 60">
            <a:extLst>
              <a:ext uri="{FF2B5EF4-FFF2-40B4-BE49-F238E27FC236}">
                <a16:creationId xmlns:a16="http://schemas.microsoft.com/office/drawing/2014/main" id="{00000000-0008-0000-0400-00001C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29" name="Retângulo de cantos arredondados 35">
            <a:hlinkClick xmlns:r="http://schemas.openxmlformats.org/officeDocument/2006/relationships" r:id="rId2"/>
            <a:extLst>
              <a:ext uri="{FF2B5EF4-FFF2-40B4-BE49-F238E27FC236}">
                <a16:creationId xmlns:a16="http://schemas.microsoft.com/office/drawing/2014/main" id="{00000000-0008-0000-0400-00001D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 </a:t>
            </a:r>
          </a:p>
        </xdr:txBody>
      </xdr:sp>
      <xdr:sp macro="" textlink="">
        <xdr:nvSpPr>
          <xdr:cNvPr id="30" name="Retângulo de cantos arredondados 35">
            <a:hlinkClick xmlns:r="http://schemas.openxmlformats.org/officeDocument/2006/relationships" r:id="rId3"/>
            <a:extLst>
              <a:ext uri="{FF2B5EF4-FFF2-40B4-BE49-F238E27FC236}">
                <a16:creationId xmlns:a16="http://schemas.microsoft.com/office/drawing/2014/main" id="{00000000-0008-0000-0400-00001E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31" name="Retângulo de cantos arredondados 35">
            <a:hlinkClick xmlns:r="http://schemas.openxmlformats.org/officeDocument/2006/relationships" r:id="rId4"/>
            <a:extLst>
              <a:ext uri="{FF2B5EF4-FFF2-40B4-BE49-F238E27FC236}">
                <a16:creationId xmlns:a16="http://schemas.microsoft.com/office/drawing/2014/main" id="{00000000-0008-0000-0400-00001F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32" name="Retângulo de cantos arredondados 35">
            <a:hlinkClick xmlns:r="http://schemas.openxmlformats.org/officeDocument/2006/relationships" r:id="rId5"/>
            <a:extLst>
              <a:ext uri="{FF2B5EF4-FFF2-40B4-BE49-F238E27FC236}">
                <a16:creationId xmlns:a16="http://schemas.microsoft.com/office/drawing/2014/main" id="{00000000-0008-0000-0400-000020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33" name="Retângulo de cantos arredondados 35">
            <a:hlinkClick xmlns:r="http://schemas.openxmlformats.org/officeDocument/2006/relationships" r:id="rId6"/>
            <a:extLst>
              <a:ext uri="{FF2B5EF4-FFF2-40B4-BE49-F238E27FC236}">
                <a16:creationId xmlns:a16="http://schemas.microsoft.com/office/drawing/2014/main" id="{00000000-0008-0000-0400-000021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34" name="Retângulo de cantos arredondados 35">
            <a:hlinkClick xmlns:r="http://schemas.openxmlformats.org/officeDocument/2006/relationships" r:id="rId7"/>
            <a:extLst>
              <a:ext uri="{FF2B5EF4-FFF2-40B4-BE49-F238E27FC236}">
                <a16:creationId xmlns:a16="http://schemas.microsoft.com/office/drawing/2014/main" id="{00000000-0008-0000-0400-000022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35" name="Retângulo de cantos arredondados 35">
            <a:hlinkClick xmlns:r="http://schemas.openxmlformats.org/officeDocument/2006/relationships" r:id="rId8"/>
            <a:extLst>
              <a:ext uri="{FF2B5EF4-FFF2-40B4-BE49-F238E27FC236}">
                <a16:creationId xmlns:a16="http://schemas.microsoft.com/office/drawing/2014/main" id="{00000000-0008-0000-0400-000023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36" name="Retângulo de cantos arredondados 35">
            <a:hlinkClick xmlns:r="http://schemas.openxmlformats.org/officeDocument/2006/relationships" r:id="rId9"/>
            <a:extLst>
              <a:ext uri="{FF2B5EF4-FFF2-40B4-BE49-F238E27FC236}">
                <a16:creationId xmlns:a16="http://schemas.microsoft.com/office/drawing/2014/main" id="{00000000-0008-0000-0400-000024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37" name="Retângulo de cantos arredondados 35">
            <a:hlinkClick xmlns:r="http://schemas.openxmlformats.org/officeDocument/2006/relationships" r:id="rId9"/>
            <a:extLst>
              <a:ext uri="{FF2B5EF4-FFF2-40B4-BE49-F238E27FC236}">
                <a16:creationId xmlns:a16="http://schemas.microsoft.com/office/drawing/2014/main" id="{00000000-0008-0000-0400-000025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38" name="Retângulo de cantos arredondados 35">
            <a:hlinkClick xmlns:r="http://schemas.openxmlformats.org/officeDocument/2006/relationships" r:id="rId10"/>
            <a:extLst>
              <a:ext uri="{FF2B5EF4-FFF2-40B4-BE49-F238E27FC236}">
                <a16:creationId xmlns:a16="http://schemas.microsoft.com/office/drawing/2014/main" id="{00000000-0008-0000-0400-000026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39" name="Retângulo de cantos arredondados 35">
            <a:hlinkClick xmlns:r="http://schemas.openxmlformats.org/officeDocument/2006/relationships" r:id="rId11"/>
            <a:extLst>
              <a:ext uri="{FF2B5EF4-FFF2-40B4-BE49-F238E27FC236}">
                <a16:creationId xmlns:a16="http://schemas.microsoft.com/office/drawing/2014/main" id="{00000000-0008-0000-0400-000027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40" name="Retângulo de cantos arredondados 35">
            <a:hlinkClick xmlns:r="http://schemas.openxmlformats.org/officeDocument/2006/relationships" r:id="rId12"/>
            <a:extLst>
              <a:ext uri="{FF2B5EF4-FFF2-40B4-BE49-F238E27FC236}">
                <a16:creationId xmlns:a16="http://schemas.microsoft.com/office/drawing/2014/main" id="{00000000-0008-0000-0400-000028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41" name="Retângulo de cantos arredondados 35">
            <a:hlinkClick xmlns:r="http://schemas.openxmlformats.org/officeDocument/2006/relationships" r:id="rId13"/>
            <a:extLst>
              <a:ext uri="{FF2B5EF4-FFF2-40B4-BE49-F238E27FC236}">
                <a16:creationId xmlns:a16="http://schemas.microsoft.com/office/drawing/2014/main" id="{00000000-0008-0000-0400-000029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42" name="Retângulo de cantos arredondados 35">
            <a:hlinkClick xmlns:r="http://schemas.openxmlformats.org/officeDocument/2006/relationships" r:id="rId14"/>
            <a:extLst>
              <a:ext uri="{FF2B5EF4-FFF2-40B4-BE49-F238E27FC236}">
                <a16:creationId xmlns:a16="http://schemas.microsoft.com/office/drawing/2014/main" id="{00000000-0008-0000-0400-00002A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43" name="Retângulo de cantos arredondados 35">
            <a:hlinkClick xmlns:r="http://schemas.openxmlformats.org/officeDocument/2006/relationships" r:id="rId15"/>
            <a:extLst>
              <a:ext uri="{FF2B5EF4-FFF2-40B4-BE49-F238E27FC236}">
                <a16:creationId xmlns:a16="http://schemas.microsoft.com/office/drawing/2014/main" id="{00000000-0008-0000-0400-00002B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44" name="Retângulo de cantos arredondados 35">
            <a:hlinkClick xmlns:r="http://schemas.openxmlformats.org/officeDocument/2006/relationships" r:id="rId16"/>
            <a:extLst>
              <a:ext uri="{FF2B5EF4-FFF2-40B4-BE49-F238E27FC236}">
                <a16:creationId xmlns:a16="http://schemas.microsoft.com/office/drawing/2014/main" id="{00000000-0008-0000-0400-00002C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45" name="Retângulo de cantos arredondados 35">
            <a:hlinkClick xmlns:r="http://schemas.openxmlformats.org/officeDocument/2006/relationships" r:id="rId17"/>
            <a:extLst>
              <a:ext uri="{FF2B5EF4-FFF2-40B4-BE49-F238E27FC236}">
                <a16:creationId xmlns:a16="http://schemas.microsoft.com/office/drawing/2014/main" id="{00000000-0008-0000-0400-00002D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7</xdr:row>
      <xdr:rowOff>38100</xdr:rowOff>
    </xdr:from>
    <xdr:to>
      <xdr:col>3</xdr:col>
      <xdr:colOff>676275</xdr:colOff>
      <xdr:row>9</xdr:row>
      <xdr:rowOff>128397</xdr:rowOff>
    </xdr:to>
    <xdr:pic>
      <xdr:nvPicPr>
        <xdr:cNvPr id="26" name="Imagem 25">
          <a:extLst>
            <a:ext uri="{FF2B5EF4-FFF2-40B4-BE49-F238E27FC236}">
              <a16:creationId xmlns:a16="http://schemas.microsoft.com/office/drawing/2014/main" id="{00000000-0008-0000-05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2381250"/>
          <a:ext cx="1619250" cy="718947"/>
        </a:xfrm>
        <a:prstGeom prst="rect">
          <a:avLst/>
        </a:prstGeom>
      </xdr:spPr>
    </xdr:pic>
    <xdr:clientData/>
  </xdr:twoCellAnchor>
  <xdr:twoCellAnchor>
    <xdr:from>
      <xdr:col>0</xdr:col>
      <xdr:colOff>0</xdr:colOff>
      <xdr:row>0</xdr:row>
      <xdr:rowOff>66675</xdr:rowOff>
    </xdr:from>
    <xdr:to>
      <xdr:col>15</xdr:col>
      <xdr:colOff>0</xdr:colOff>
      <xdr:row>4</xdr:row>
      <xdr:rowOff>183093</xdr:rowOff>
    </xdr:to>
    <xdr:grpSp>
      <xdr:nvGrpSpPr>
        <xdr:cNvPr id="27" name="Grupo 26">
          <a:extLst>
            <a:ext uri="{FF2B5EF4-FFF2-40B4-BE49-F238E27FC236}">
              <a16:creationId xmlns:a16="http://schemas.microsoft.com/office/drawing/2014/main" id="{00000000-0008-0000-0500-00001B000000}"/>
            </a:ext>
          </a:extLst>
        </xdr:cNvPr>
        <xdr:cNvGrpSpPr/>
      </xdr:nvGrpSpPr>
      <xdr:grpSpPr>
        <a:xfrm>
          <a:off x="0" y="66675"/>
          <a:ext cx="12763500" cy="878418"/>
          <a:chOff x="52917" y="190500"/>
          <a:chExt cx="13832416" cy="878418"/>
        </a:xfrm>
      </xdr:grpSpPr>
      <xdr:sp macro="" textlink="">
        <xdr:nvSpPr>
          <xdr:cNvPr id="28" name="Fluxograma: Processo 60">
            <a:extLst>
              <a:ext uri="{FF2B5EF4-FFF2-40B4-BE49-F238E27FC236}">
                <a16:creationId xmlns:a16="http://schemas.microsoft.com/office/drawing/2014/main" id="{00000000-0008-0000-0500-00001C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29" name="Retângulo de cantos arredondados 35">
            <a:hlinkClick xmlns:r="http://schemas.openxmlformats.org/officeDocument/2006/relationships" r:id="rId2"/>
            <a:extLst>
              <a:ext uri="{FF2B5EF4-FFF2-40B4-BE49-F238E27FC236}">
                <a16:creationId xmlns:a16="http://schemas.microsoft.com/office/drawing/2014/main" id="{00000000-0008-0000-0500-00001D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a:t>
            </a:r>
          </a:p>
        </xdr:txBody>
      </xdr:sp>
      <xdr:sp macro="" textlink="">
        <xdr:nvSpPr>
          <xdr:cNvPr id="30" name="Retângulo de cantos arredondados 35">
            <a:hlinkClick xmlns:r="http://schemas.openxmlformats.org/officeDocument/2006/relationships" r:id="rId3"/>
            <a:extLst>
              <a:ext uri="{FF2B5EF4-FFF2-40B4-BE49-F238E27FC236}">
                <a16:creationId xmlns:a16="http://schemas.microsoft.com/office/drawing/2014/main" id="{00000000-0008-0000-0500-00001E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31" name="Retângulo de cantos arredondados 35">
            <a:hlinkClick xmlns:r="http://schemas.openxmlformats.org/officeDocument/2006/relationships" r:id="rId4"/>
            <a:extLst>
              <a:ext uri="{FF2B5EF4-FFF2-40B4-BE49-F238E27FC236}">
                <a16:creationId xmlns:a16="http://schemas.microsoft.com/office/drawing/2014/main" id="{00000000-0008-0000-0500-00001F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32" name="Retângulo de cantos arredondados 35">
            <a:hlinkClick xmlns:r="http://schemas.openxmlformats.org/officeDocument/2006/relationships" r:id="rId5"/>
            <a:extLst>
              <a:ext uri="{FF2B5EF4-FFF2-40B4-BE49-F238E27FC236}">
                <a16:creationId xmlns:a16="http://schemas.microsoft.com/office/drawing/2014/main" id="{00000000-0008-0000-0500-000020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33" name="Retângulo de cantos arredondados 35">
            <a:hlinkClick xmlns:r="http://schemas.openxmlformats.org/officeDocument/2006/relationships" r:id="rId6"/>
            <a:extLst>
              <a:ext uri="{FF2B5EF4-FFF2-40B4-BE49-F238E27FC236}">
                <a16:creationId xmlns:a16="http://schemas.microsoft.com/office/drawing/2014/main" id="{00000000-0008-0000-0500-000021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34" name="Retângulo de cantos arredondados 35">
            <a:hlinkClick xmlns:r="http://schemas.openxmlformats.org/officeDocument/2006/relationships" r:id="rId7"/>
            <a:extLst>
              <a:ext uri="{FF2B5EF4-FFF2-40B4-BE49-F238E27FC236}">
                <a16:creationId xmlns:a16="http://schemas.microsoft.com/office/drawing/2014/main" id="{00000000-0008-0000-0500-000022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35" name="Retângulo de cantos arredondados 35">
            <a:hlinkClick xmlns:r="http://schemas.openxmlformats.org/officeDocument/2006/relationships" r:id="rId8"/>
            <a:extLst>
              <a:ext uri="{FF2B5EF4-FFF2-40B4-BE49-F238E27FC236}">
                <a16:creationId xmlns:a16="http://schemas.microsoft.com/office/drawing/2014/main" id="{00000000-0008-0000-0500-000023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36" name="Retângulo de cantos arredondados 35">
            <a:hlinkClick xmlns:r="http://schemas.openxmlformats.org/officeDocument/2006/relationships" r:id="rId9"/>
            <a:extLst>
              <a:ext uri="{FF2B5EF4-FFF2-40B4-BE49-F238E27FC236}">
                <a16:creationId xmlns:a16="http://schemas.microsoft.com/office/drawing/2014/main" id="{00000000-0008-0000-0500-000024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37" name="Retângulo de cantos arredondados 35">
            <a:hlinkClick xmlns:r="http://schemas.openxmlformats.org/officeDocument/2006/relationships" r:id="rId9"/>
            <a:extLst>
              <a:ext uri="{FF2B5EF4-FFF2-40B4-BE49-F238E27FC236}">
                <a16:creationId xmlns:a16="http://schemas.microsoft.com/office/drawing/2014/main" id="{00000000-0008-0000-0500-000025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38" name="Retângulo de cantos arredondados 35">
            <a:hlinkClick xmlns:r="http://schemas.openxmlformats.org/officeDocument/2006/relationships" r:id="rId10"/>
            <a:extLst>
              <a:ext uri="{FF2B5EF4-FFF2-40B4-BE49-F238E27FC236}">
                <a16:creationId xmlns:a16="http://schemas.microsoft.com/office/drawing/2014/main" id="{00000000-0008-0000-0500-000026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39" name="Retângulo de cantos arredondados 35">
            <a:hlinkClick xmlns:r="http://schemas.openxmlformats.org/officeDocument/2006/relationships" r:id="rId11"/>
            <a:extLst>
              <a:ext uri="{FF2B5EF4-FFF2-40B4-BE49-F238E27FC236}">
                <a16:creationId xmlns:a16="http://schemas.microsoft.com/office/drawing/2014/main" id="{00000000-0008-0000-0500-000027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40" name="Retângulo de cantos arredondados 35">
            <a:hlinkClick xmlns:r="http://schemas.openxmlformats.org/officeDocument/2006/relationships" r:id="rId12"/>
            <a:extLst>
              <a:ext uri="{FF2B5EF4-FFF2-40B4-BE49-F238E27FC236}">
                <a16:creationId xmlns:a16="http://schemas.microsoft.com/office/drawing/2014/main" id="{00000000-0008-0000-0500-000028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41" name="Retângulo de cantos arredondados 35">
            <a:hlinkClick xmlns:r="http://schemas.openxmlformats.org/officeDocument/2006/relationships" r:id="rId13"/>
            <a:extLst>
              <a:ext uri="{FF2B5EF4-FFF2-40B4-BE49-F238E27FC236}">
                <a16:creationId xmlns:a16="http://schemas.microsoft.com/office/drawing/2014/main" id="{00000000-0008-0000-0500-000029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42" name="Retângulo de cantos arredondados 35">
            <a:hlinkClick xmlns:r="http://schemas.openxmlformats.org/officeDocument/2006/relationships" r:id="rId14"/>
            <a:extLst>
              <a:ext uri="{FF2B5EF4-FFF2-40B4-BE49-F238E27FC236}">
                <a16:creationId xmlns:a16="http://schemas.microsoft.com/office/drawing/2014/main" id="{00000000-0008-0000-0500-00002A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43" name="Retângulo de cantos arredondados 35">
            <a:hlinkClick xmlns:r="http://schemas.openxmlformats.org/officeDocument/2006/relationships" r:id="rId15"/>
            <a:extLst>
              <a:ext uri="{FF2B5EF4-FFF2-40B4-BE49-F238E27FC236}">
                <a16:creationId xmlns:a16="http://schemas.microsoft.com/office/drawing/2014/main" id="{00000000-0008-0000-0500-00002B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44" name="Retângulo de cantos arredondados 35">
            <a:hlinkClick xmlns:r="http://schemas.openxmlformats.org/officeDocument/2006/relationships" r:id="rId16"/>
            <a:extLst>
              <a:ext uri="{FF2B5EF4-FFF2-40B4-BE49-F238E27FC236}">
                <a16:creationId xmlns:a16="http://schemas.microsoft.com/office/drawing/2014/main" id="{00000000-0008-0000-0500-00002C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45" name="Retângulo de cantos arredondados 35">
            <a:hlinkClick xmlns:r="http://schemas.openxmlformats.org/officeDocument/2006/relationships" r:id="rId17"/>
            <a:extLst>
              <a:ext uri="{FF2B5EF4-FFF2-40B4-BE49-F238E27FC236}">
                <a16:creationId xmlns:a16="http://schemas.microsoft.com/office/drawing/2014/main" id="{00000000-0008-0000-0500-00002D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7</xdr:row>
      <xdr:rowOff>0</xdr:rowOff>
    </xdr:from>
    <xdr:to>
      <xdr:col>3</xdr:col>
      <xdr:colOff>685800</xdr:colOff>
      <xdr:row>8</xdr:row>
      <xdr:rowOff>480822</xdr:rowOff>
    </xdr:to>
    <xdr:pic>
      <xdr:nvPicPr>
        <xdr:cNvPr id="49" name="Imagem 48">
          <a:extLst>
            <a:ext uri="{FF2B5EF4-FFF2-40B4-BE49-F238E27FC236}">
              <a16:creationId xmlns:a16="http://schemas.microsoft.com/office/drawing/2014/main" id="{00000000-0008-0000-0600-00003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2333625"/>
          <a:ext cx="1619250" cy="718947"/>
        </a:xfrm>
        <a:prstGeom prst="rect">
          <a:avLst/>
        </a:prstGeom>
      </xdr:spPr>
    </xdr:pic>
    <xdr:clientData/>
  </xdr:twoCellAnchor>
  <xdr:twoCellAnchor>
    <xdr:from>
      <xdr:col>0</xdr:col>
      <xdr:colOff>76200</xdr:colOff>
      <xdr:row>0</xdr:row>
      <xdr:rowOff>104775</xdr:rowOff>
    </xdr:from>
    <xdr:to>
      <xdr:col>15</xdr:col>
      <xdr:colOff>428625</xdr:colOff>
      <xdr:row>5</xdr:row>
      <xdr:rowOff>30693</xdr:rowOff>
    </xdr:to>
    <xdr:grpSp>
      <xdr:nvGrpSpPr>
        <xdr:cNvPr id="50" name="Grupo 49">
          <a:extLst>
            <a:ext uri="{FF2B5EF4-FFF2-40B4-BE49-F238E27FC236}">
              <a16:creationId xmlns:a16="http://schemas.microsoft.com/office/drawing/2014/main" id="{00000000-0008-0000-0600-000032000000}"/>
            </a:ext>
          </a:extLst>
        </xdr:cNvPr>
        <xdr:cNvGrpSpPr/>
      </xdr:nvGrpSpPr>
      <xdr:grpSpPr>
        <a:xfrm>
          <a:off x="76200" y="104775"/>
          <a:ext cx="12745508" cy="878418"/>
          <a:chOff x="52917" y="190500"/>
          <a:chExt cx="13832416" cy="878418"/>
        </a:xfrm>
      </xdr:grpSpPr>
      <xdr:sp macro="" textlink="">
        <xdr:nvSpPr>
          <xdr:cNvPr id="51" name="Fluxograma: Processo 60">
            <a:extLst>
              <a:ext uri="{FF2B5EF4-FFF2-40B4-BE49-F238E27FC236}">
                <a16:creationId xmlns:a16="http://schemas.microsoft.com/office/drawing/2014/main" id="{00000000-0008-0000-0600-000033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52" name="Retângulo de cantos arredondados 35">
            <a:hlinkClick xmlns:r="http://schemas.openxmlformats.org/officeDocument/2006/relationships" r:id="rId2"/>
            <a:extLst>
              <a:ext uri="{FF2B5EF4-FFF2-40B4-BE49-F238E27FC236}">
                <a16:creationId xmlns:a16="http://schemas.microsoft.com/office/drawing/2014/main" id="{00000000-0008-0000-0600-000034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 </a:t>
            </a:r>
          </a:p>
        </xdr:txBody>
      </xdr:sp>
      <xdr:sp macro="" textlink="">
        <xdr:nvSpPr>
          <xdr:cNvPr id="53" name="Retângulo de cantos arredondados 35">
            <a:hlinkClick xmlns:r="http://schemas.openxmlformats.org/officeDocument/2006/relationships" r:id="rId3"/>
            <a:extLst>
              <a:ext uri="{FF2B5EF4-FFF2-40B4-BE49-F238E27FC236}">
                <a16:creationId xmlns:a16="http://schemas.microsoft.com/office/drawing/2014/main" id="{00000000-0008-0000-0600-000035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54" name="Retângulo de cantos arredondados 35">
            <a:hlinkClick xmlns:r="http://schemas.openxmlformats.org/officeDocument/2006/relationships" r:id="rId4"/>
            <a:extLst>
              <a:ext uri="{FF2B5EF4-FFF2-40B4-BE49-F238E27FC236}">
                <a16:creationId xmlns:a16="http://schemas.microsoft.com/office/drawing/2014/main" id="{00000000-0008-0000-0600-000036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55" name="Retângulo de cantos arredondados 35">
            <a:hlinkClick xmlns:r="http://schemas.openxmlformats.org/officeDocument/2006/relationships" r:id="rId5"/>
            <a:extLst>
              <a:ext uri="{FF2B5EF4-FFF2-40B4-BE49-F238E27FC236}">
                <a16:creationId xmlns:a16="http://schemas.microsoft.com/office/drawing/2014/main" id="{00000000-0008-0000-0600-000037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56" name="Retângulo de cantos arredondados 35">
            <a:hlinkClick xmlns:r="http://schemas.openxmlformats.org/officeDocument/2006/relationships" r:id="rId6"/>
            <a:extLst>
              <a:ext uri="{FF2B5EF4-FFF2-40B4-BE49-F238E27FC236}">
                <a16:creationId xmlns:a16="http://schemas.microsoft.com/office/drawing/2014/main" id="{00000000-0008-0000-0600-000038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57" name="Retângulo de cantos arredondados 35">
            <a:hlinkClick xmlns:r="http://schemas.openxmlformats.org/officeDocument/2006/relationships" r:id="rId7"/>
            <a:extLst>
              <a:ext uri="{FF2B5EF4-FFF2-40B4-BE49-F238E27FC236}">
                <a16:creationId xmlns:a16="http://schemas.microsoft.com/office/drawing/2014/main" id="{00000000-0008-0000-0600-000039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8" name="Retângulo de cantos arredondados 35">
            <a:hlinkClick xmlns:r="http://schemas.openxmlformats.org/officeDocument/2006/relationships" r:id="rId8"/>
            <a:extLst>
              <a:ext uri="{FF2B5EF4-FFF2-40B4-BE49-F238E27FC236}">
                <a16:creationId xmlns:a16="http://schemas.microsoft.com/office/drawing/2014/main" id="{00000000-0008-0000-0600-00003A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9" name="Retângulo de cantos arredondados 58">
            <a:hlinkClick xmlns:r="http://schemas.openxmlformats.org/officeDocument/2006/relationships" r:id="rId9"/>
            <a:extLst>
              <a:ext uri="{FF2B5EF4-FFF2-40B4-BE49-F238E27FC236}">
                <a16:creationId xmlns:a16="http://schemas.microsoft.com/office/drawing/2014/main" id="{00000000-0008-0000-0600-00003B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60" name="Retângulo de cantos arredondados 35">
            <a:hlinkClick xmlns:r="http://schemas.openxmlformats.org/officeDocument/2006/relationships" r:id="rId9"/>
            <a:extLst>
              <a:ext uri="{FF2B5EF4-FFF2-40B4-BE49-F238E27FC236}">
                <a16:creationId xmlns:a16="http://schemas.microsoft.com/office/drawing/2014/main" id="{00000000-0008-0000-0600-00003C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61" name="Retângulo de cantos arredondados 35">
            <a:hlinkClick xmlns:r="http://schemas.openxmlformats.org/officeDocument/2006/relationships" r:id="rId10"/>
            <a:extLst>
              <a:ext uri="{FF2B5EF4-FFF2-40B4-BE49-F238E27FC236}">
                <a16:creationId xmlns:a16="http://schemas.microsoft.com/office/drawing/2014/main" id="{00000000-0008-0000-0600-00003D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62" name="Retângulo de cantos arredondados 35">
            <a:hlinkClick xmlns:r="http://schemas.openxmlformats.org/officeDocument/2006/relationships" r:id="rId11"/>
            <a:extLst>
              <a:ext uri="{FF2B5EF4-FFF2-40B4-BE49-F238E27FC236}">
                <a16:creationId xmlns:a16="http://schemas.microsoft.com/office/drawing/2014/main" id="{00000000-0008-0000-0600-00003E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63" name="Retângulo de cantos arredondados 35">
            <a:hlinkClick xmlns:r="http://schemas.openxmlformats.org/officeDocument/2006/relationships" r:id="rId12"/>
            <a:extLst>
              <a:ext uri="{FF2B5EF4-FFF2-40B4-BE49-F238E27FC236}">
                <a16:creationId xmlns:a16="http://schemas.microsoft.com/office/drawing/2014/main" id="{00000000-0008-0000-0600-00003F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4" name="Retângulo de cantos arredondados 35">
            <a:hlinkClick xmlns:r="http://schemas.openxmlformats.org/officeDocument/2006/relationships" r:id="rId13"/>
            <a:extLst>
              <a:ext uri="{FF2B5EF4-FFF2-40B4-BE49-F238E27FC236}">
                <a16:creationId xmlns:a16="http://schemas.microsoft.com/office/drawing/2014/main" id="{00000000-0008-0000-0600-000040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5" name="Retângulo de cantos arredondados 35">
            <a:hlinkClick xmlns:r="http://schemas.openxmlformats.org/officeDocument/2006/relationships" r:id="rId14"/>
            <a:extLst>
              <a:ext uri="{FF2B5EF4-FFF2-40B4-BE49-F238E27FC236}">
                <a16:creationId xmlns:a16="http://schemas.microsoft.com/office/drawing/2014/main" id="{00000000-0008-0000-0600-000041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66" name="Retângulo de cantos arredondados 35">
            <a:hlinkClick xmlns:r="http://schemas.openxmlformats.org/officeDocument/2006/relationships" r:id="rId15"/>
            <a:extLst>
              <a:ext uri="{FF2B5EF4-FFF2-40B4-BE49-F238E27FC236}">
                <a16:creationId xmlns:a16="http://schemas.microsoft.com/office/drawing/2014/main" id="{00000000-0008-0000-0600-000042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67" name="Retângulo de cantos arredondados 35">
            <a:hlinkClick xmlns:r="http://schemas.openxmlformats.org/officeDocument/2006/relationships" r:id="rId16"/>
            <a:extLst>
              <a:ext uri="{FF2B5EF4-FFF2-40B4-BE49-F238E27FC236}">
                <a16:creationId xmlns:a16="http://schemas.microsoft.com/office/drawing/2014/main" id="{00000000-0008-0000-0600-000043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68" name="Retângulo de cantos arredondados 35">
            <a:hlinkClick xmlns:r="http://schemas.openxmlformats.org/officeDocument/2006/relationships" r:id="rId17"/>
            <a:extLst>
              <a:ext uri="{FF2B5EF4-FFF2-40B4-BE49-F238E27FC236}">
                <a16:creationId xmlns:a16="http://schemas.microsoft.com/office/drawing/2014/main" id="{00000000-0008-0000-0600-000044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8</xdr:row>
      <xdr:rowOff>21167</xdr:rowOff>
    </xdr:from>
    <xdr:to>
      <xdr:col>0</xdr:col>
      <xdr:colOff>1619250</xdr:colOff>
      <xdr:row>11</xdr:row>
      <xdr:rowOff>168614</xdr:rowOff>
    </xdr:to>
    <xdr:pic>
      <xdr:nvPicPr>
        <xdr:cNvPr id="26" name="Imagem 25">
          <a:extLst>
            <a:ext uri="{FF2B5EF4-FFF2-40B4-BE49-F238E27FC236}">
              <a16:creationId xmlns:a16="http://schemas.microsoft.com/office/drawing/2014/main" id="{00000000-0008-0000-07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66334"/>
          <a:ext cx="1619250" cy="718947"/>
        </a:xfrm>
        <a:prstGeom prst="rect">
          <a:avLst/>
        </a:prstGeom>
      </xdr:spPr>
    </xdr:pic>
    <xdr:clientData/>
  </xdr:twoCellAnchor>
  <xdr:twoCellAnchor>
    <xdr:from>
      <xdr:col>0</xdr:col>
      <xdr:colOff>84667</xdr:colOff>
      <xdr:row>0</xdr:row>
      <xdr:rowOff>116417</xdr:rowOff>
    </xdr:from>
    <xdr:to>
      <xdr:col>13</xdr:col>
      <xdr:colOff>479425</xdr:colOff>
      <xdr:row>5</xdr:row>
      <xdr:rowOff>42335</xdr:rowOff>
    </xdr:to>
    <xdr:grpSp>
      <xdr:nvGrpSpPr>
        <xdr:cNvPr id="108" name="Grupo 107">
          <a:extLst>
            <a:ext uri="{FF2B5EF4-FFF2-40B4-BE49-F238E27FC236}">
              <a16:creationId xmlns:a16="http://schemas.microsoft.com/office/drawing/2014/main" id="{00000000-0008-0000-0700-00006C000000}"/>
            </a:ext>
          </a:extLst>
        </xdr:cNvPr>
        <xdr:cNvGrpSpPr/>
      </xdr:nvGrpSpPr>
      <xdr:grpSpPr>
        <a:xfrm>
          <a:off x="84667" y="116417"/>
          <a:ext cx="12734925" cy="878418"/>
          <a:chOff x="52917" y="190500"/>
          <a:chExt cx="13832416" cy="878418"/>
        </a:xfrm>
      </xdr:grpSpPr>
      <xdr:sp macro="" textlink="">
        <xdr:nvSpPr>
          <xdr:cNvPr id="109" name="Fluxograma: Processo 60">
            <a:extLst>
              <a:ext uri="{FF2B5EF4-FFF2-40B4-BE49-F238E27FC236}">
                <a16:creationId xmlns:a16="http://schemas.microsoft.com/office/drawing/2014/main" id="{00000000-0008-0000-0700-00006D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110" name="Retângulo de cantos arredondados 35">
            <a:hlinkClick xmlns:r="http://schemas.openxmlformats.org/officeDocument/2006/relationships" r:id="rId2"/>
            <a:extLst>
              <a:ext uri="{FF2B5EF4-FFF2-40B4-BE49-F238E27FC236}">
                <a16:creationId xmlns:a16="http://schemas.microsoft.com/office/drawing/2014/main" id="{00000000-0008-0000-0700-00006E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a:t>
            </a:r>
          </a:p>
        </xdr:txBody>
      </xdr:sp>
      <xdr:sp macro="" textlink="">
        <xdr:nvSpPr>
          <xdr:cNvPr id="111" name="Retângulo de cantos arredondados 35">
            <a:hlinkClick xmlns:r="http://schemas.openxmlformats.org/officeDocument/2006/relationships" r:id="rId3"/>
            <a:extLst>
              <a:ext uri="{FF2B5EF4-FFF2-40B4-BE49-F238E27FC236}">
                <a16:creationId xmlns:a16="http://schemas.microsoft.com/office/drawing/2014/main" id="{00000000-0008-0000-0700-00006F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112" name="Retângulo de cantos arredondados 35">
            <a:hlinkClick xmlns:r="http://schemas.openxmlformats.org/officeDocument/2006/relationships" r:id="rId4"/>
            <a:extLst>
              <a:ext uri="{FF2B5EF4-FFF2-40B4-BE49-F238E27FC236}">
                <a16:creationId xmlns:a16="http://schemas.microsoft.com/office/drawing/2014/main" id="{00000000-0008-0000-0700-000070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113" name="Retângulo de cantos arredondados 35">
            <a:hlinkClick xmlns:r="http://schemas.openxmlformats.org/officeDocument/2006/relationships" r:id="rId5"/>
            <a:extLst>
              <a:ext uri="{FF2B5EF4-FFF2-40B4-BE49-F238E27FC236}">
                <a16:creationId xmlns:a16="http://schemas.microsoft.com/office/drawing/2014/main" id="{00000000-0008-0000-0700-000071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114" name="Retângulo de cantos arredondados 35">
            <a:hlinkClick xmlns:r="http://schemas.openxmlformats.org/officeDocument/2006/relationships" r:id="rId6"/>
            <a:extLst>
              <a:ext uri="{FF2B5EF4-FFF2-40B4-BE49-F238E27FC236}">
                <a16:creationId xmlns:a16="http://schemas.microsoft.com/office/drawing/2014/main" id="{00000000-0008-0000-0700-000072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115" name="Retângulo de cantos arredondados 35">
            <a:hlinkClick xmlns:r="http://schemas.openxmlformats.org/officeDocument/2006/relationships" r:id="rId7"/>
            <a:extLst>
              <a:ext uri="{FF2B5EF4-FFF2-40B4-BE49-F238E27FC236}">
                <a16:creationId xmlns:a16="http://schemas.microsoft.com/office/drawing/2014/main" id="{00000000-0008-0000-0700-000073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116" name="Retângulo de cantos arredondados 35">
            <a:hlinkClick xmlns:r="http://schemas.openxmlformats.org/officeDocument/2006/relationships" r:id="rId8"/>
            <a:extLst>
              <a:ext uri="{FF2B5EF4-FFF2-40B4-BE49-F238E27FC236}">
                <a16:creationId xmlns:a16="http://schemas.microsoft.com/office/drawing/2014/main" id="{00000000-0008-0000-0700-000074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117" name="Retângulo de cantos arredondados 116">
            <a:hlinkClick xmlns:r="http://schemas.openxmlformats.org/officeDocument/2006/relationships" r:id="rId9"/>
            <a:extLst>
              <a:ext uri="{FF2B5EF4-FFF2-40B4-BE49-F238E27FC236}">
                <a16:creationId xmlns:a16="http://schemas.microsoft.com/office/drawing/2014/main" id="{00000000-0008-0000-0700-000075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118" name="Retângulo de cantos arredondados 35">
            <a:hlinkClick xmlns:r="http://schemas.openxmlformats.org/officeDocument/2006/relationships" r:id="rId9"/>
            <a:extLst>
              <a:ext uri="{FF2B5EF4-FFF2-40B4-BE49-F238E27FC236}">
                <a16:creationId xmlns:a16="http://schemas.microsoft.com/office/drawing/2014/main" id="{00000000-0008-0000-0700-000076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119" name="Retângulo de cantos arredondados 35">
            <a:hlinkClick xmlns:r="http://schemas.openxmlformats.org/officeDocument/2006/relationships" r:id="rId10"/>
            <a:extLst>
              <a:ext uri="{FF2B5EF4-FFF2-40B4-BE49-F238E27FC236}">
                <a16:creationId xmlns:a16="http://schemas.microsoft.com/office/drawing/2014/main" id="{00000000-0008-0000-0700-000077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120" name="Retângulo de cantos arredondados 35">
            <a:hlinkClick xmlns:r="http://schemas.openxmlformats.org/officeDocument/2006/relationships" r:id="rId11"/>
            <a:extLst>
              <a:ext uri="{FF2B5EF4-FFF2-40B4-BE49-F238E27FC236}">
                <a16:creationId xmlns:a16="http://schemas.microsoft.com/office/drawing/2014/main" id="{00000000-0008-0000-0700-000078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121" name="Retângulo de cantos arredondados 35">
            <a:hlinkClick xmlns:r="http://schemas.openxmlformats.org/officeDocument/2006/relationships" r:id="rId12"/>
            <a:extLst>
              <a:ext uri="{FF2B5EF4-FFF2-40B4-BE49-F238E27FC236}">
                <a16:creationId xmlns:a16="http://schemas.microsoft.com/office/drawing/2014/main" id="{00000000-0008-0000-0700-000079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122" name="Retângulo de cantos arredondados 35">
            <a:hlinkClick xmlns:r="http://schemas.openxmlformats.org/officeDocument/2006/relationships" r:id="rId13"/>
            <a:extLst>
              <a:ext uri="{FF2B5EF4-FFF2-40B4-BE49-F238E27FC236}">
                <a16:creationId xmlns:a16="http://schemas.microsoft.com/office/drawing/2014/main" id="{00000000-0008-0000-0700-00007A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123" name="Retângulo de cantos arredondados 35">
            <a:hlinkClick xmlns:r="http://schemas.openxmlformats.org/officeDocument/2006/relationships" r:id="rId14"/>
            <a:extLst>
              <a:ext uri="{FF2B5EF4-FFF2-40B4-BE49-F238E27FC236}">
                <a16:creationId xmlns:a16="http://schemas.microsoft.com/office/drawing/2014/main" id="{00000000-0008-0000-0700-00007B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124" name="Retângulo de cantos arredondados 35">
            <a:hlinkClick xmlns:r="http://schemas.openxmlformats.org/officeDocument/2006/relationships" r:id="rId15"/>
            <a:extLst>
              <a:ext uri="{FF2B5EF4-FFF2-40B4-BE49-F238E27FC236}">
                <a16:creationId xmlns:a16="http://schemas.microsoft.com/office/drawing/2014/main" id="{00000000-0008-0000-0700-00007C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125" name="Retângulo de cantos arredondados 35">
            <a:hlinkClick xmlns:r="http://schemas.openxmlformats.org/officeDocument/2006/relationships" r:id="rId16"/>
            <a:extLst>
              <a:ext uri="{FF2B5EF4-FFF2-40B4-BE49-F238E27FC236}">
                <a16:creationId xmlns:a16="http://schemas.microsoft.com/office/drawing/2014/main" id="{00000000-0008-0000-0700-00007D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126" name="Retângulo de cantos arredondados 35">
            <a:hlinkClick xmlns:r="http://schemas.openxmlformats.org/officeDocument/2006/relationships" r:id="rId17"/>
            <a:extLst>
              <a:ext uri="{FF2B5EF4-FFF2-40B4-BE49-F238E27FC236}">
                <a16:creationId xmlns:a16="http://schemas.microsoft.com/office/drawing/2014/main" id="{00000000-0008-0000-0700-00007E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7</xdr:row>
      <xdr:rowOff>19050</xdr:rowOff>
    </xdr:from>
    <xdr:to>
      <xdr:col>3</xdr:col>
      <xdr:colOff>962025</xdr:colOff>
      <xdr:row>8</xdr:row>
      <xdr:rowOff>499871</xdr:rowOff>
    </xdr:to>
    <xdr:pic>
      <xdr:nvPicPr>
        <xdr:cNvPr id="49" name="Imagem 48">
          <a:extLst>
            <a:ext uri="{FF2B5EF4-FFF2-40B4-BE49-F238E27FC236}">
              <a16:creationId xmlns:a16="http://schemas.microsoft.com/office/drawing/2014/main" id="{00000000-0008-0000-0800-00003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352675"/>
          <a:ext cx="1619250" cy="718947"/>
        </a:xfrm>
        <a:prstGeom prst="rect">
          <a:avLst/>
        </a:prstGeom>
      </xdr:spPr>
    </xdr:pic>
    <xdr:clientData/>
  </xdr:twoCellAnchor>
  <xdr:twoCellAnchor>
    <xdr:from>
      <xdr:col>0</xdr:col>
      <xdr:colOff>76200</xdr:colOff>
      <xdr:row>0</xdr:row>
      <xdr:rowOff>66675</xdr:rowOff>
    </xdr:from>
    <xdr:to>
      <xdr:col>15</xdr:col>
      <xdr:colOff>0</xdr:colOff>
      <xdr:row>4</xdr:row>
      <xdr:rowOff>183093</xdr:rowOff>
    </xdr:to>
    <xdr:grpSp>
      <xdr:nvGrpSpPr>
        <xdr:cNvPr id="50" name="Grupo 49">
          <a:extLst>
            <a:ext uri="{FF2B5EF4-FFF2-40B4-BE49-F238E27FC236}">
              <a16:creationId xmlns:a16="http://schemas.microsoft.com/office/drawing/2014/main" id="{00000000-0008-0000-0800-000032000000}"/>
            </a:ext>
          </a:extLst>
        </xdr:cNvPr>
        <xdr:cNvGrpSpPr/>
      </xdr:nvGrpSpPr>
      <xdr:grpSpPr>
        <a:xfrm>
          <a:off x="76200" y="66675"/>
          <a:ext cx="12761383" cy="878418"/>
          <a:chOff x="52917" y="190500"/>
          <a:chExt cx="13832416" cy="878418"/>
        </a:xfrm>
      </xdr:grpSpPr>
      <xdr:sp macro="" textlink="">
        <xdr:nvSpPr>
          <xdr:cNvPr id="51" name="Fluxograma: Processo 60">
            <a:extLst>
              <a:ext uri="{FF2B5EF4-FFF2-40B4-BE49-F238E27FC236}">
                <a16:creationId xmlns:a16="http://schemas.microsoft.com/office/drawing/2014/main" id="{00000000-0008-0000-0800-000033000000}"/>
              </a:ext>
            </a:extLst>
          </xdr:cNvPr>
          <xdr:cNvSpPr>
            <a:spLocks noChangeArrowheads="1"/>
          </xdr:cNvSpPr>
        </xdr:nvSpPr>
        <xdr:spPr bwMode="auto">
          <a:xfrm>
            <a:off x="52917" y="190500"/>
            <a:ext cx="13832416" cy="878418"/>
          </a:xfrm>
          <a:prstGeom prst="flowChartProcess">
            <a:avLst/>
          </a:prstGeom>
          <a:solidFill>
            <a:schemeClr val="bg1">
              <a:lumMod val="95000"/>
            </a:schemeClr>
          </a:solidFill>
          <a:ln w="9525" algn="ctr">
            <a:solidFill>
              <a:schemeClr val="tx1">
                <a:lumMod val="50000"/>
                <a:lumOff val="50000"/>
              </a:schemeClr>
            </a:solidFill>
            <a:round/>
            <a:headEnd/>
            <a:tailEnd/>
          </a:ln>
          <a:effectLst>
            <a:softEdge rad="0"/>
          </a:effectLst>
        </xdr:spPr>
        <xdr:txBody>
          <a:bodyPr/>
          <a:lstStyle/>
          <a:p>
            <a:pPr algn="r"/>
            <a:endParaRPr lang="pt-BR" sz="1600" b="0">
              <a:latin typeface="Calibri Light" panose="020F0302020204030204" pitchFamily="34" charset="0"/>
            </a:endParaRPr>
          </a:p>
          <a:p>
            <a:pPr algn="r"/>
            <a:endParaRPr lang="pt-BR" sz="1600" b="0">
              <a:latin typeface="Calibri Light" panose="020F0302020204030204" pitchFamily="34" charset="0"/>
            </a:endParaRPr>
          </a:p>
          <a:p>
            <a:pPr algn="r"/>
            <a:endParaRPr lang="pt-BR" sz="1600" b="0">
              <a:latin typeface="Calibri Light" panose="020F0302020204030204" pitchFamily="34" charset="0"/>
            </a:endParaRPr>
          </a:p>
        </xdr:txBody>
      </xdr:sp>
      <xdr:sp macro="" textlink="">
        <xdr:nvSpPr>
          <xdr:cNvPr id="52" name="Retângulo de cantos arredondados 35">
            <a:hlinkClick xmlns:r="http://schemas.openxmlformats.org/officeDocument/2006/relationships" r:id="rId2"/>
            <a:extLst>
              <a:ext uri="{FF2B5EF4-FFF2-40B4-BE49-F238E27FC236}">
                <a16:creationId xmlns:a16="http://schemas.microsoft.com/office/drawing/2014/main" id="{00000000-0008-0000-0800-000034000000}"/>
              </a:ext>
            </a:extLst>
          </xdr:cNvPr>
          <xdr:cNvSpPr/>
        </xdr:nvSpPr>
        <xdr:spPr bwMode="auto">
          <a:xfrm>
            <a:off x="899928" y="423333"/>
            <a:ext cx="756513" cy="442382"/>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SE Provisão </a:t>
            </a:r>
          </a:p>
        </xdr:txBody>
      </xdr:sp>
      <xdr:sp macro="" textlink="">
        <xdr:nvSpPr>
          <xdr:cNvPr id="53" name="Retângulo de cantos arredondados 35">
            <a:hlinkClick xmlns:r="http://schemas.openxmlformats.org/officeDocument/2006/relationships" r:id="rId3"/>
            <a:extLst>
              <a:ext uri="{FF2B5EF4-FFF2-40B4-BE49-F238E27FC236}">
                <a16:creationId xmlns:a16="http://schemas.microsoft.com/office/drawing/2014/main" id="{00000000-0008-0000-0800-000035000000}"/>
              </a:ext>
            </a:extLst>
          </xdr:cNvPr>
          <xdr:cNvSpPr/>
        </xdr:nvSpPr>
        <xdr:spPr bwMode="auto">
          <a:xfrm>
            <a:off x="88901" y="433917"/>
            <a:ext cx="756513" cy="433783"/>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Plano</a:t>
            </a:r>
            <a:r>
              <a:rPr lang="pt-BR" sz="900" b="0" baseline="0">
                <a:solidFill>
                  <a:schemeClr val="bg1"/>
                </a:solidFill>
                <a:latin typeface="Calibri Light" panose="020F0302020204030204" pitchFamily="34" charset="0"/>
                <a:cs typeface="Arial" pitchFamily="34" charset="0"/>
              </a:rPr>
              <a:t> de trabalho</a:t>
            </a:r>
            <a:endParaRPr lang="pt-BR" sz="900" b="0">
              <a:solidFill>
                <a:schemeClr val="bg1"/>
              </a:solidFill>
              <a:latin typeface="Calibri Light" panose="020F0302020204030204" pitchFamily="34" charset="0"/>
              <a:cs typeface="Arial" pitchFamily="34" charset="0"/>
            </a:endParaRPr>
          </a:p>
        </xdr:txBody>
      </xdr:sp>
      <xdr:sp macro="" textlink="">
        <xdr:nvSpPr>
          <xdr:cNvPr id="54" name="Retângulo de cantos arredondados 35">
            <a:hlinkClick xmlns:r="http://schemas.openxmlformats.org/officeDocument/2006/relationships" r:id="rId4"/>
            <a:extLst>
              <a:ext uri="{FF2B5EF4-FFF2-40B4-BE49-F238E27FC236}">
                <a16:creationId xmlns:a16="http://schemas.microsoft.com/office/drawing/2014/main" id="{00000000-0008-0000-0800-000036000000}"/>
              </a:ext>
            </a:extLst>
          </xdr:cNvPr>
          <xdr:cNvSpPr/>
        </xdr:nvSpPr>
        <xdr:spPr bwMode="auto">
          <a:xfrm>
            <a:off x="1691174" y="423333"/>
            <a:ext cx="756513" cy="459188"/>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Provisão de água</a:t>
            </a:r>
          </a:p>
        </xdr:txBody>
      </xdr:sp>
      <xdr:sp macro="" textlink="">
        <xdr:nvSpPr>
          <xdr:cNvPr id="55" name="Retângulo de cantos arredondados 35">
            <a:hlinkClick xmlns:r="http://schemas.openxmlformats.org/officeDocument/2006/relationships" r:id="rId5"/>
            <a:extLst>
              <a:ext uri="{FF2B5EF4-FFF2-40B4-BE49-F238E27FC236}">
                <a16:creationId xmlns:a16="http://schemas.microsoft.com/office/drawing/2014/main" id="{00000000-0008-0000-0800-000037000000}"/>
              </a:ext>
            </a:extLst>
          </xdr:cNvPr>
          <xdr:cNvSpPr/>
        </xdr:nvSpPr>
        <xdr:spPr bwMode="auto">
          <a:xfrm>
            <a:off x="2489135" y="423333"/>
            <a:ext cx="756513" cy="452843"/>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Provisão de biomassa combustpivel</a:t>
            </a:r>
          </a:p>
        </xdr:txBody>
      </xdr:sp>
      <xdr:sp macro="" textlink="">
        <xdr:nvSpPr>
          <xdr:cNvPr id="56" name="Retângulo de cantos arredondados 35">
            <a:hlinkClick xmlns:r="http://schemas.openxmlformats.org/officeDocument/2006/relationships" r:id="rId6"/>
            <a:extLst>
              <a:ext uri="{FF2B5EF4-FFF2-40B4-BE49-F238E27FC236}">
                <a16:creationId xmlns:a16="http://schemas.microsoft.com/office/drawing/2014/main" id="{00000000-0008-0000-0800-000038000000}"/>
              </a:ext>
            </a:extLst>
          </xdr:cNvPr>
          <xdr:cNvSpPr/>
        </xdr:nvSpPr>
        <xdr:spPr bwMode="auto">
          <a:xfrm>
            <a:off x="3276515" y="416988"/>
            <a:ext cx="756513" cy="452843"/>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a:t>
            </a:r>
            <a:r>
              <a:rPr lang="pt-BR" sz="800" b="0" baseline="0">
                <a:solidFill>
                  <a:schemeClr val="bg1"/>
                </a:solidFill>
                <a:latin typeface="Calibri Light" panose="020F0302020204030204" pitchFamily="34" charset="0"/>
                <a:cs typeface="Arial" pitchFamily="34" charset="0"/>
              </a:rPr>
              <a:t> de p</a:t>
            </a:r>
            <a:r>
              <a:rPr lang="pt-BR" sz="800" b="0">
                <a:solidFill>
                  <a:schemeClr val="bg1"/>
                </a:solidFill>
                <a:latin typeface="Calibri Light" panose="020F0302020204030204" pitchFamily="34" charset="0"/>
                <a:cs typeface="Arial" pitchFamily="34" charset="0"/>
              </a:rPr>
              <a:t>rovisão de biomassa combustpivel</a:t>
            </a:r>
          </a:p>
        </xdr:txBody>
      </xdr:sp>
      <xdr:sp macro="" textlink="">
        <xdr:nvSpPr>
          <xdr:cNvPr id="57" name="Retângulo de cantos arredondados 35">
            <a:hlinkClick xmlns:r="http://schemas.openxmlformats.org/officeDocument/2006/relationships" r:id="rId7"/>
            <a:extLst>
              <a:ext uri="{FF2B5EF4-FFF2-40B4-BE49-F238E27FC236}">
                <a16:creationId xmlns:a16="http://schemas.microsoft.com/office/drawing/2014/main" id="{00000000-0008-0000-0800-000039000000}"/>
              </a:ext>
            </a:extLst>
          </xdr:cNvPr>
          <xdr:cNvSpPr/>
        </xdr:nvSpPr>
        <xdr:spPr bwMode="auto">
          <a:xfrm>
            <a:off x="4062900" y="396220"/>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8" name="Retângulo de cantos arredondados 35">
            <a:hlinkClick xmlns:r="http://schemas.openxmlformats.org/officeDocument/2006/relationships" r:id="rId8"/>
            <a:extLst>
              <a:ext uri="{FF2B5EF4-FFF2-40B4-BE49-F238E27FC236}">
                <a16:creationId xmlns:a16="http://schemas.microsoft.com/office/drawing/2014/main" id="{00000000-0008-0000-0800-00003A000000}"/>
              </a:ext>
            </a:extLst>
          </xdr:cNvPr>
          <xdr:cNvSpPr/>
        </xdr:nvSpPr>
        <xdr:spPr bwMode="auto">
          <a:xfrm>
            <a:off x="4882029" y="400458"/>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Apoio de regulação</a:t>
            </a:r>
            <a:r>
              <a:rPr lang="pt-BR" sz="900" b="0" baseline="0">
                <a:solidFill>
                  <a:schemeClr val="bg1"/>
                </a:solidFill>
                <a:latin typeface="Calibri Light" panose="020F0302020204030204" pitchFamily="34" charset="0"/>
                <a:cs typeface="Arial" pitchFamily="34" charset="0"/>
              </a:rPr>
              <a:t> da qualidade água</a:t>
            </a:r>
            <a:endParaRPr lang="pt-BR" sz="900" b="0">
              <a:solidFill>
                <a:schemeClr val="bg1"/>
              </a:solidFill>
              <a:latin typeface="Calibri Light" panose="020F0302020204030204" pitchFamily="34" charset="0"/>
              <a:cs typeface="Arial" pitchFamily="34" charset="0"/>
            </a:endParaRPr>
          </a:p>
        </xdr:txBody>
      </xdr:sp>
      <xdr:sp macro="" textlink="">
        <xdr:nvSpPr>
          <xdr:cNvPr id="59" name="Retângulo de cantos arredondados 58">
            <a:hlinkClick xmlns:r="http://schemas.openxmlformats.org/officeDocument/2006/relationships" r:id="rId9"/>
            <a:extLst>
              <a:ext uri="{FF2B5EF4-FFF2-40B4-BE49-F238E27FC236}">
                <a16:creationId xmlns:a16="http://schemas.microsoft.com/office/drawing/2014/main" id="{00000000-0008-0000-0800-00003B000000}"/>
              </a:ext>
            </a:extLst>
          </xdr:cNvPr>
          <xdr:cNvSpPr/>
        </xdr:nvSpPr>
        <xdr:spPr bwMode="auto">
          <a:xfrm>
            <a:off x="5702947" y="40015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Assimilação de efluentes íquidos </a:t>
            </a:r>
          </a:p>
        </xdr:txBody>
      </xdr:sp>
      <xdr:sp macro="" textlink="">
        <xdr:nvSpPr>
          <xdr:cNvPr id="60" name="Retângulo de cantos arredondados 35">
            <a:hlinkClick xmlns:r="http://schemas.openxmlformats.org/officeDocument/2006/relationships" r:id="rId9"/>
            <a:extLst>
              <a:ext uri="{FF2B5EF4-FFF2-40B4-BE49-F238E27FC236}">
                <a16:creationId xmlns:a16="http://schemas.microsoft.com/office/drawing/2014/main" id="{00000000-0008-0000-0800-00003C000000}"/>
              </a:ext>
            </a:extLst>
          </xdr:cNvPr>
          <xdr:cNvSpPr/>
        </xdr:nvSpPr>
        <xdr:spPr bwMode="auto">
          <a:xfrm>
            <a:off x="6522076" y="383224"/>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assimilação de efluentes íquidos </a:t>
            </a:r>
            <a:endParaRPr lang="pt-BR" sz="900" b="0">
              <a:solidFill>
                <a:schemeClr val="bg1"/>
              </a:solidFill>
              <a:latin typeface="Calibri Light" panose="020F0302020204030204" pitchFamily="34" charset="0"/>
              <a:cs typeface="Arial" pitchFamily="34" charset="0"/>
            </a:endParaRPr>
          </a:p>
        </xdr:txBody>
      </xdr:sp>
      <xdr:sp macro="" textlink="">
        <xdr:nvSpPr>
          <xdr:cNvPr id="61" name="Retângulo de cantos arredondados 35">
            <a:hlinkClick xmlns:r="http://schemas.openxmlformats.org/officeDocument/2006/relationships" r:id="rId10"/>
            <a:extLst>
              <a:ext uri="{FF2B5EF4-FFF2-40B4-BE49-F238E27FC236}">
                <a16:creationId xmlns:a16="http://schemas.microsoft.com/office/drawing/2014/main" id="{00000000-0008-0000-0800-00003D000000}"/>
              </a:ext>
            </a:extLst>
          </xdr:cNvPr>
          <xdr:cNvSpPr/>
        </xdr:nvSpPr>
        <xdr:spPr bwMode="auto">
          <a:xfrm>
            <a:off x="7341205" y="387462"/>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do clima global</a:t>
            </a:r>
            <a:endParaRPr lang="pt-BR" sz="900" b="0">
              <a:solidFill>
                <a:schemeClr val="bg1"/>
              </a:solidFill>
              <a:latin typeface="Calibri Light" panose="020F0302020204030204" pitchFamily="34" charset="0"/>
              <a:cs typeface="Arial" pitchFamily="34" charset="0"/>
            </a:endParaRPr>
          </a:p>
        </xdr:txBody>
      </xdr:sp>
      <xdr:sp macro="" textlink="">
        <xdr:nvSpPr>
          <xdr:cNvPr id="62" name="Retângulo de cantos arredondados 35">
            <a:hlinkClick xmlns:r="http://schemas.openxmlformats.org/officeDocument/2006/relationships" r:id="rId11"/>
            <a:extLst>
              <a:ext uri="{FF2B5EF4-FFF2-40B4-BE49-F238E27FC236}">
                <a16:creationId xmlns:a16="http://schemas.microsoft.com/office/drawing/2014/main" id="{00000000-0008-0000-0800-00003E000000}"/>
              </a:ext>
            </a:extLst>
          </xdr:cNvPr>
          <xdr:cNvSpPr/>
        </xdr:nvSpPr>
        <xdr:spPr bwMode="auto">
          <a:xfrm>
            <a:off x="8149772" y="381111"/>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 clima global </a:t>
            </a:r>
            <a:endParaRPr lang="pt-BR" sz="900" b="0">
              <a:solidFill>
                <a:schemeClr val="bg1"/>
              </a:solidFill>
              <a:latin typeface="Calibri Light" panose="020F0302020204030204" pitchFamily="34" charset="0"/>
              <a:cs typeface="Arial" pitchFamily="34" charset="0"/>
            </a:endParaRPr>
          </a:p>
        </xdr:txBody>
      </xdr:sp>
      <xdr:sp macro="" textlink="">
        <xdr:nvSpPr>
          <xdr:cNvPr id="63" name="Retângulo de cantos arredondados 35">
            <a:hlinkClick xmlns:r="http://schemas.openxmlformats.org/officeDocument/2006/relationships" r:id="rId12"/>
            <a:extLst>
              <a:ext uri="{FF2B5EF4-FFF2-40B4-BE49-F238E27FC236}">
                <a16:creationId xmlns:a16="http://schemas.microsoft.com/office/drawing/2014/main" id="{00000000-0008-0000-0800-00003F000000}"/>
              </a:ext>
            </a:extLst>
          </xdr:cNvPr>
          <xdr:cNvSpPr/>
        </xdr:nvSpPr>
        <xdr:spPr bwMode="auto">
          <a:xfrm>
            <a:off x="8968901" y="385349"/>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4" name="Retângulo de cantos arredondados 35">
            <a:hlinkClick xmlns:r="http://schemas.openxmlformats.org/officeDocument/2006/relationships" r:id="rId13"/>
            <a:extLst>
              <a:ext uri="{FF2B5EF4-FFF2-40B4-BE49-F238E27FC236}">
                <a16:creationId xmlns:a16="http://schemas.microsoft.com/office/drawing/2014/main" id="{00000000-0008-0000-0800-000040000000}"/>
              </a:ext>
            </a:extLst>
          </xdr:cNvPr>
          <xdr:cNvSpPr/>
        </xdr:nvSpPr>
        <xdr:spPr bwMode="auto">
          <a:xfrm>
            <a:off x="9788030" y="389587"/>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polinização</a:t>
            </a:r>
            <a:endParaRPr lang="pt-BR" sz="900" b="0">
              <a:solidFill>
                <a:schemeClr val="bg1"/>
              </a:solidFill>
              <a:latin typeface="Calibri Light" panose="020F0302020204030204" pitchFamily="34" charset="0"/>
              <a:cs typeface="Arial" pitchFamily="34" charset="0"/>
            </a:endParaRPr>
          </a:p>
        </xdr:txBody>
      </xdr:sp>
      <xdr:sp macro="" textlink="">
        <xdr:nvSpPr>
          <xdr:cNvPr id="65" name="Retângulo de cantos arredondados 35">
            <a:hlinkClick xmlns:r="http://schemas.openxmlformats.org/officeDocument/2006/relationships" r:id="rId14"/>
            <a:extLst>
              <a:ext uri="{FF2B5EF4-FFF2-40B4-BE49-F238E27FC236}">
                <a16:creationId xmlns:a16="http://schemas.microsoft.com/office/drawing/2014/main" id="{00000000-0008-0000-0800-000041000000}"/>
              </a:ext>
            </a:extLst>
          </xdr:cNvPr>
          <xdr:cNvSpPr/>
        </xdr:nvSpPr>
        <xdr:spPr bwMode="auto">
          <a:xfrm>
            <a:off x="10607159" y="39382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Regulação</a:t>
            </a:r>
            <a:r>
              <a:rPr lang="pt-BR" sz="800" b="0" baseline="0">
                <a:solidFill>
                  <a:schemeClr val="bg1"/>
                </a:solidFill>
                <a:latin typeface="Calibri Light" panose="020F0302020204030204" pitchFamily="34" charset="0"/>
                <a:cs typeface="Arial" pitchFamily="34" charset="0"/>
              </a:rPr>
              <a:t> de  erosão do solo</a:t>
            </a:r>
            <a:endParaRPr lang="pt-BR" sz="900" b="0">
              <a:solidFill>
                <a:schemeClr val="bg1"/>
              </a:solidFill>
              <a:latin typeface="Calibri Light" panose="020F0302020204030204" pitchFamily="34" charset="0"/>
              <a:cs typeface="Arial" pitchFamily="34" charset="0"/>
            </a:endParaRPr>
          </a:p>
        </xdr:txBody>
      </xdr:sp>
      <xdr:sp macro="" textlink="">
        <xdr:nvSpPr>
          <xdr:cNvPr id="66" name="Retângulo de cantos arredondados 35">
            <a:hlinkClick xmlns:r="http://schemas.openxmlformats.org/officeDocument/2006/relationships" r:id="rId15"/>
            <a:extLst>
              <a:ext uri="{FF2B5EF4-FFF2-40B4-BE49-F238E27FC236}">
                <a16:creationId xmlns:a16="http://schemas.microsoft.com/office/drawing/2014/main" id="{00000000-0008-0000-0800-000042000000}"/>
              </a:ext>
            </a:extLst>
          </xdr:cNvPr>
          <xdr:cNvSpPr/>
        </xdr:nvSpPr>
        <xdr:spPr bwMode="auto">
          <a:xfrm>
            <a:off x="11426288" y="387480"/>
            <a:ext cx="775612" cy="481666"/>
          </a:xfrm>
          <a:prstGeom prst="roundRect">
            <a:avLst/>
          </a:prstGeom>
          <a:solidFill>
            <a:schemeClr val="bg1">
              <a:lumMod val="65000"/>
            </a:schemeClr>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Apoio de regulação</a:t>
            </a:r>
            <a:r>
              <a:rPr lang="pt-BR" sz="800" b="0" baseline="0">
                <a:solidFill>
                  <a:schemeClr val="bg1"/>
                </a:solidFill>
                <a:latin typeface="Calibri Light" panose="020F0302020204030204" pitchFamily="34" charset="0"/>
                <a:cs typeface="Arial" pitchFamily="34" charset="0"/>
              </a:rPr>
              <a:t> de erosão de solo</a:t>
            </a:r>
            <a:endParaRPr lang="pt-BR" sz="900" b="0">
              <a:solidFill>
                <a:schemeClr val="bg1"/>
              </a:solidFill>
              <a:latin typeface="Calibri Light" panose="020F0302020204030204" pitchFamily="34" charset="0"/>
              <a:cs typeface="Arial" pitchFamily="34" charset="0"/>
            </a:endParaRPr>
          </a:p>
        </xdr:txBody>
      </xdr:sp>
      <xdr:sp macro="" textlink="">
        <xdr:nvSpPr>
          <xdr:cNvPr id="67" name="Retângulo de cantos arredondados 35">
            <a:hlinkClick xmlns:r="http://schemas.openxmlformats.org/officeDocument/2006/relationships" r:id="rId16"/>
            <a:extLst>
              <a:ext uri="{FF2B5EF4-FFF2-40B4-BE49-F238E27FC236}">
                <a16:creationId xmlns:a16="http://schemas.microsoft.com/office/drawing/2014/main" id="{00000000-0008-0000-0800-000043000000}"/>
              </a:ext>
            </a:extLst>
          </xdr:cNvPr>
          <xdr:cNvSpPr/>
        </xdr:nvSpPr>
        <xdr:spPr bwMode="auto">
          <a:xfrm>
            <a:off x="12245417" y="381135"/>
            <a:ext cx="775612" cy="481666"/>
          </a:xfrm>
          <a:prstGeom prst="roundRect">
            <a:avLst/>
          </a:prstGeom>
          <a:solidFill>
            <a:srgbClr val="003978"/>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800" b="0">
                <a:solidFill>
                  <a:schemeClr val="bg1"/>
                </a:solidFill>
                <a:latin typeface="Calibri Light" panose="020F0302020204030204" pitchFamily="34" charset="0"/>
                <a:cs typeface="Arial" pitchFamily="34" charset="0"/>
              </a:rPr>
              <a:t>Recreação e</a:t>
            </a:r>
            <a:r>
              <a:rPr lang="pt-BR" sz="800" b="0" baseline="0">
                <a:solidFill>
                  <a:schemeClr val="bg1"/>
                </a:solidFill>
                <a:latin typeface="Calibri Light" panose="020F0302020204030204" pitchFamily="34" charset="0"/>
                <a:cs typeface="Arial" pitchFamily="34" charset="0"/>
              </a:rPr>
              <a:t> turismo</a:t>
            </a:r>
            <a:endParaRPr lang="pt-BR" sz="900" b="0">
              <a:solidFill>
                <a:schemeClr val="bg1"/>
              </a:solidFill>
              <a:latin typeface="Calibri Light" panose="020F0302020204030204" pitchFamily="34" charset="0"/>
              <a:cs typeface="Arial" pitchFamily="34" charset="0"/>
            </a:endParaRPr>
          </a:p>
        </xdr:txBody>
      </xdr:sp>
      <xdr:sp macro="" textlink="">
        <xdr:nvSpPr>
          <xdr:cNvPr id="68" name="Retângulo de cantos arredondados 35">
            <a:hlinkClick xmlns:r="http://schemas.openxmlformats.org/officeDocument/2006/relationships" r:id="rId17"/>
            <a:extLst>
              <a:ext uri="{FF2B5EF4-FFF2-40B4-BE49-F238E27FC236}">
                <a16:creationId xmlns:a16="http://schemas.microsoft.com/office/drawing/2014/main" id="{00000000-0008-0000-0800-000044000000}"/>
              </a:ext>
            </a:extLst>
          </xdr:cNvPr>
          <xdr:cNvSpPr/>
        </xdr:nvSpPr>
        <xdr:spPr bwMode="auto">
          <a:xfrm>
            <a:off x="13053484" y="370418"/>
            <a:ext cx="756513" cy="476116"/>
          </a:xfrm>
          <a:prstGeom prst="roundRect">
            <a:avLst/>
          </a:prstGeom>
          <a:solidFill>
            <a:srgbClr val="F6882E"/>
          </a:solidFill>
          <a:ln>
            <a:noFill/>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ctr">
              <a:lnSpc>
                <a:spcPct val="80000"/>
              </a:lnSpc>
            </a:pPr>
            <a:r>
              <a:rPr lang="pt-BR" sz="900" b="0">
                <a:solidFill>
                  <a:schemeClr val="bg1"/>
                </a:solidFill>
                <a:latin typeface="Calibri Light" panose="020F0302020204030204" pitchFamily="34" charset="0"/>
                <a:cs typeface="Arial" pitchFamily="34" charset="0"/>
              </a:rPr>
              <a:t>Resumo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fernandarocha\Desktop\E\Users\Jacobson%20Max\Desktop\fichas%20t&#233;cnicas\Ficha%20Tecnica%20Biogas%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fernandarocha\Desktop\E\Users\Jacobson%20Max\Desktop\fichas%20t&#233;cnicas\Ferramenta_GHG_Protocol_v2012.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fernandarocha\Desktop\E\Users\Jacobson%20Max\Desktop\fichas%20t&#233;cnicas\AE.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fernandarocha\Desktop\E\Users\acer\Dropbox\Cr&#233;dito%20verde\Fichas%20Tecnicas\01%20Restauro%20de%20biomas%20-%20florestas%20nativas\Ficha%20Tecnica%20Desmatamento%20Evitado%201B.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fernandarocha\Desktop\E\Users\Jacobson%20Max\Downloads\Ferramenta_GHG_Protocol_v2012.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pa 1"/>
      <sheetName val="Etapa 2"/>
      <sheetName val="Resíduos sólidos"/>
      <sheetName val="Dados"/>
      <sheetName val="Fatores de Emissão"/>
    </sheetNames>
    <sheetDataSet>
      <sheetData sheetId="0"/>
      <sheetData sheetId="1"/>
      <sheetData sheetId="2">
        <row r="119">
          <cell r="E119">
            <v>0</v>
          </cell>
        </row>
      </sheetData>
      <sheetData sheetId="3">
        <row r="15">
          <cell r="B15" t="str">
            <v>Selecione</v>
          </cell>
          <cell r="C15" t="str">
            <v>Selecione</v>
          </cell>
        </row>
        <row r="16">
          <cell r="B16" t="str">
            <v>Sim</v>
          </cell>
          <cell r="C16" t="str">
            <v>Sim</v>
          </cell>
        </row>
        <row r="17">
          <cell r="B17" t="str">
            <v>Não</v>
          </cell>
          <cell r="C17" t="str">
            <v>Não, será utilizado valor padrão</v>
          </cell>
        </row>
        <row r="19">
          <cell r="B19" t="str">
            <v>Selecione</v>
          </cell>
        </row>
        <row r="20">
          <cell r="B20" t="str">
            <v>≥ 1.000</v>
          </cell>
        </row>
        <row r="21">
          <cell r="B21" t="str">
            <v>&lt;1.000</v>
          </cell>
        </row>
        <row r="23">
          <cell r="B23" t="str">
            <v>Selecione</v>
          </cell>
        </row>
        <row r="24">
          <cell r="B24" t="str">
            <v>&gt;20</v>
          </cell>
        </row>
        <row r="25">
          <cell r="B25" t="str">
            <v>≤20</v>
          </cell>
        </row>
        <row r="27">
          <cell r="B27" t="str">
            <v>Selecione</v>
          </cell>
        </row>
        <row r="28">
          <cell r="B28" t="str">
            <v>Não</v>
          </cell>
        </row>
        <row r="29">
          <cell r="B29" t="str">
            <v>Sim, para geração de energia para a rede</v>
          </cell>
        </row>
        <row r="30">
          <cell r="B30" t="str">
            <v>Sim, para a comercalização de biogás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Atualizações"/>
      <sheetName val="Listas"/>
      <sheetName val="Introdução"/>
      <sheetName val="Combustão estacionária"/>
      <sheetName val="Combustão móvel"/>
      <sheetName val="Emissões fugitivas"/>
      <sheetName val="Processos industriais"/>
      <sheetName val="Atividades agrícolas"/>
      <sheetName val="Resíduos sólidos"/>
      <sheetName val="Efluentes"/>
      <sheetName val="Compra de Energia Elétrica"/>
      <sheetName val="Compra de Energia Térmica"/>
      <sheetName val="Categorias de Escopo 3"/>
      <sheetName val="Transp.&amp; Distribuição(Upstream)"/>
      <sheetName val="Resíduos sólidos da operação"/>
      <sheetName val="Efluentes gerados na operação"/>
      <sheetName val="Viagens a Negócios"/>
      <sheetName val="Transp&amp;Distribuição(Downstream)"/>
      <sheetName val="Resumo"/>
      <sheetName val="Fatores de Emissão"/>
      <sheetName val="Fatores Variáveis"/>
      <sheetName val="Fatores de conversão"/>
      <sheetName val="Transporte Diário Funcionários"/>
      <sheetName val="Transporte de Produtos"/>
      <sheetName val="Melhorias"/>
    </sheetNames>
    <sheetDataSet>
      <sheetData sheetId="0" refreshError="1"/>
      <sheetData sheetId="1" refreshError="1"/>
      <sheetData sheetId="2" refreshError="1">
        <row r="2">
          <cell r="B2" t="str">
            <v>Selecione</v>
          </cell>
          <cell r="D2" t="str">
            <v>Selecione o setor</v>
          </cell>
        </row>
        <row r="3">
          <cell r="B3">
            <v>2012</v>
          </cell>
          <cell r="D3" t="str">
            <v>Energia</v>
          </cell>
          <cell r="F3" t="str">
            <v>Alcatrão</v>
          </cell>
        </row>
        <row r="4">
          <cell r="B4">
            <v>2011</v>
          </cell>
          <cell r="D4" t="str">
            <v>Manufatura ou Construção</v>
          </cell>
          <cell r="F4" t="str">
            <v>Asfaltos</v>
          </cell>
        </row>
        <row r="5">
          <cell r="B5">
            <v>2010</v>
          </cell>
          <cell r="D5" t="str">
            <v>Comercial ou Institucional</v>
          </cell>
          <cell r="F5" t="str">
            <v>Bagaço de Cana</v>
          </cell>
        </row>
        <row r="6">
          <cell r="B6">
            <v>2009</v>
          </cell>
          <cell r="D6" t="str">
            <v>Residencial, Agricultura, Florestal ou Pesca</v>
          </cell>
          <cell r="F6" t="str">
            <v>Biodiesel (B100)</v>
          </cell>
        </row>
        <row r="7">
          <cell r="B7">
            <v>2008</v>
          </cell>
          <cell r="F7" t="str">
            <v>Biogás</v>
          </cell>
        </row>
        <row r="8">
          <cell r="B8">
            <v>2007</v>
          </cell>
          <cell r="F8" t="str">
            <v>Caldo de Cana</v>
          </cell>
        </row>
        <row r="9">
          <cell r="B9">
            <v>2006</v>
          </cell>
          <cell r="F9" t="str">
            <v>Carvão Metalúrgico Importado</v>
          </cell>
        </row>
        <row r="10">
          <cell r="F10" t="str">
            <v>Carvão Metalúrgico Nacional</v>
          </cell>
        </row>
        <row r="11">
          <cell r="F11" t="str">
            <v>Carvão Vapor 3100 kcal / kg</v>
          </cell>
        </row>
        <row r="12">
          <cell r="F12" t="str">
            <v>Carvão Vapor 3300 kcal / kg</v>
          </cell>
        </row>
        <row r="13">
          <cell r="F13" t="str">
            <v>Carvão Vapor 3700 kcal / kg</v>
          </cell>
        </row>
        <row r="14">
          <cell r="F14" t="str">
            <v>Carvão Vapor 4200 kcal / kg</v>
          </cell>
        </row>
        <row r="15">
          <cell r="F15" t="str">
            <v>Carvão Vapor 4500 kcal / kg</v>
          </cell>
        </row>
        <row r="16">
          <cell r="F16" t="str">
            <v>Carvão Vapor 4700 kcal / kg</v>
          </cell>
        </row>
        <row r="17">
          <cell r="F17" t="str">
            <v>Carvão Vapor 5200 kcal / kg</v>
          </cell>
        </row>
        <row r="18">
          <cell r="F18" t="str">
            <v>Carvão Vapor 5900 kcal / kg</v>
          </cell>
        </row>
        <row r="19">
          <cell r="F19" t="str">
            <v>Carvão Vapor 6000 kcal / kg</v>
          </cell>
        </row>
        <row r="20">
          <cell r="F20" t="str">
            <v>Carvão Vapor sem Especificação</v>
          </cell>
        </row>
        <row r="21">
          <cell r="F21" t="str">
            <v>Carvão Vegetal</v>
          </cell>
        </row>
        <row r="22">
          <cell r="F22" t="str">
            <v>Coque de Carvão Mineral</v>
          </cell>
        </row>
        <row r="23">
          <cell r="F23" t="str">
            <v>Coque de Petróleo</v>
          </cell>
        </row>
        <row r="24">
          <cell r="F24" t="str">
            <v>Etano</v>
          </cell>
        </row>
        <row r="25">
          <cell r="F25" t="str">
            <v>Etanol</v>
          </cell>
        </row>
        <row r="26">
          <cell r="F26" t="str">
            <v>Gás de Coqueria</v>
          </cell>
        </row>
        <row r="27">
          <cell r="F27" t="str">
            <v>Gás de Refinaria</v>
          </cell>
        </row>
        <row r="28">
          <cell r="F28" t="str">
            <v>Gás Liquefeito de Petróleo (GLP)</v>
          </cell>
        </row>
        <row r="29">
          <cell r="F29" t="str">
            <v>Gás Natural Seco</v>
          </cell>
        </row>
        <row r="30">
          <cell r="F30" t="str">
            <v>Gás Natural Úmido</v>
          </cell>
        </row>
        <row r="31">
          <cell r="F31" t="str">
            <v>Gasolina Automotiva (comercial)</v>
          </cell>
        </row>
        <row r="32">
          <cell r="F32" t="str">
            <v>Gasolina Automotiva (pura)</v>
          </cell>
        </row>
        <row r="33">
          <cell r="F33" t="str">
            <v>Gasolina de Aviação</v>
          </cell>
        </row>
        <row r="34">
          <cell r="F34" t="str">
            <v>Lenha para Carvoejamento</v>
          </cell>
        </row>
        <row r="35">
          <cell r="F35" t="str">
            <v>Lenha para Queima Direta</v>
          </cell>
        </row>
        <row r="36">
          <cell r="F36" t="str">
            <v>Licor Negro (Lixívia)</v>
          </cell>
        </row>
        <row r="37">
          <cell r="F37" t="str">
            <v>Líquidos de Gás Natural (LGN)</v>
          </cell>
        </row>
        <row r="38">
          <cell r="F38" t="str">
            <v>Lubrificantes</v>
          </cell>
        </row>
        <row r="39">
          <cell r="F39" t="str">
            <v>Melaço</v>
          </cell>
        </row>
        <row r="40">
          <cell r="F40" t="str">
            <v>Nafta</v>
          </cell>
        </row>
        <row r="41">
          <cell r="F41" t="str">
            <v>Óleo Combustível</v>
          </cell>
        </row>
        <row r="42">
          <cell r="F42" t="str">
            <v>Óleo de Xisto</v>
          </cell>
        </row>
        <row r="43">
          <cell r="F43" t="str">
            <v>Óleo Diesel (comercial)</v>
          </cell>
        </row>
        <row r="44">
          <cell r="F44" t="str">
            <v>Óleo Diesel (puro)</v>
          </cell>
        </row>
        <row r="45">
          <cell r="F45" t="str">
            <v>Óleos Residuais</v>
          </cell>
        </row>
        <row r="46">
          <cell r="F46" t="str">
            <v>Outros Produtos de Petróleo</v>
          </cell>
        </row>
        <row r="47">
          <cell r="F47" t="str">
            <v>Parafina</v>
          </cell>
        </row>
        <row r="48">
          <cell r="F48" t="str">
            <v>Petróleo Bruto</v>
          </cell>
        </row>
        <row r="49">
          <cell r="F49" t="str">
            <v>Querosene de Aviação</v>
          </cell>
        </row>
        <row r="50">
          <cell r="F50" t="str">
            <v>Querosene Iluminante</v>
          </cell>
        </row>
        <row r="51">
          <cell r="F51" t="str">
            <v>Resíduos Industriais</v>
          </cell>
        </row>
        <row r="52">
          <cell r="F52" t="str">
            <v>Resíduos Municipais (fração biomassa)</v>
          </cell>
        </row>
        <row r="53">
          <cell r="F53" t="str">
            <v>Resíduos Municipais (fração não-biomassa)</v>
          </cell>
        </row>
        <row r="54">
          <cell r="F54" t="str">
            <v>Resíduos Vegetais</v>
          </cell>
        </row>
        <row r="55">
          <cell r="F55" t="str">
            <v>Solventes</v>
          </cell>
        </row>
        <row r="56">
          <cell r="F56" t="str">
            <v>Turfa</v>
          </cell>
        </row>
        <row r="57">
          <cell r="F57" t="str">
            <v>Xisto Betuminoso e Areias Betuminosas</v>
          </cell>
        </row>
      </sheetData>
      <sheetData sheetId="3" refreshError="1">
        <row r="24">
          <cell r="E24">
            <v>2012</v>
          </cell>
        </row>
      </sheetData>
      <sheetData sheetId="4" refreshError="1">
        <row r="30">
          <cell r="D30" t="str">
            <v>Comercial ou Institucional</v>
          </cell>
        </row>
        <row r="134">
          <cell r="I134">
            <v>2.0669394240000001</v>
          </cell>
          <cell r="J134">
            <v>1.8421919999999999E-4</v>
          </cell>
          <cell r="K134">
            <v>3.6843840000000007E-6</v>
          </cell>
        </row>
        <row r="148">
          <cell r="J148">
            <v>0</v>
          </cell>
          <cell r="K148">
            <v>0</v>
          </cell>
        </row>
        <row r="155">
          <cell r="E155">
            <v>2.0719501862399999E-3</v>
          </cell>
        </row>
        <row r="157">
          <cell r="E157">
            <v>0</v>
          </cell>
        </row>
      </sheetData>
      <sheetData sheetId="5" refreshError="1">
        <row r="50">
          <cell r="AF50" t="str">
            <v/>
          </cell>
          <cell r="AG50" t="str">
            <v/>
          </cell>
          <cell r="AH50">
            <v>0</v>
          </cell>
          <cell r="AI50">
            <v>0</v>
          </cell>
          <cell r="AJ50" t="e">
            <v>#N/A</v>
          </cell>
          <cell r="AK50" t="e">
            <v>#N/A</v>
          </cell>
          <cell r="AL50" t="e">
            <v>#N/A</v>
          </cell>
          <cell r="AM50" t="str">
            <v/>
          </cell>
          <cell r="AN50">
            <v>0</v>
          </cell>
          <cell r="AO50" t="str">
            <v/>
          </cell>
          <cell r="AP50">
            <v>0</v>
          </cell>
          <cell r="AQ50" t="str">
            <v/>
          </cell>
          <cell r="AR50">
            <v>0</v>
          </cell>
          <cell r="AS50" t="str">
            <v/>
          </cell>
          <cell r="AT50" t="str">
            <v/>
          </cell>
          <cell r="AU50">
            <v>0</v>
          </cell>
          <cell r="AV50" t="e">
            <v>#N/A</v>
          </cell>
          <cell r="AW50" t="e">
            <v>#N/A</v>
          </cell>
          <cell r="AX50" t="e">
            <v>#N/A</v>
          </cell>
          <cell r="AY50" t="str">
            <v/>
          </cell>
          <cell r="AZ50">
            <v>0</v>
          </cell>
          <cell r="BA50" t="str">
            <v/>
          </cell>
          <cell r="BB50">
            <v>0</v>
          </cell>
          <cell r="BC50" t="str">
            <v/>
          </cell>
        </row>
        <row r="51">
          <cell r="AF51" t="str">
            <v/>
          </cell>
          <cell r="AG51" t="str">
            <v/>
          </cell>
          <cell r="AH51">
            <v>0</v>
          </cell>
          <cell r="AI51">
            <v>0</v>
          </cell>
          <cell r="AJ51" t="e">
            <v>#N/A</v>
          </cell>
          <cell r="AK51" t="e">
            <v>#N/A</v>
          </cell>
          <cell r="AL51" t="e">
            <v>#N/A</v>
          </cell>
          <cell r="AM51" t="str">
            <v/>
          </cell>
          <cell r="AN51">
            <v>0</v>
          </cell>
          <cell r="AO51" t="str">
            <v/>
          </cell>
          <cell r="AP51">
            <v>0</v>
          </cell>
          <cell r="AQ51" t="str">
            <v/>
          </cell>
          <cell r="AR51">
            <v>0</v>
          </cell>
          <cell r="AS51" t="str">
            <v/>
          </cell>
          <cell r="AT51" t="str">
            <v/>
          </cell>
          <cell r="AU51">
            <v>0</v>
          </cell>
          <cell r="AV51" t="e">
            <v>#N/A</v>
          </cell>
          <cell r="AW51" t="e">
            <v>#N/A</v>
          </cell>
          <cell r="AX51" t="e">
            <v>#N/A</v>
          </cell>
          <cell r="AY51" t="str">
            <v/>
          </cell>
          <cell r="AZ51">
            <v>0</v>
          </cell>
          <cell r="BA51" t="str">
            <v/>
          </cell>
          <cell r="BB51">
            <v>0</v>
          </cell>
          <cell r="BC51" t="str">
            <v/>
          </cell>
        </row>
        <row r="52">
          <cell r="AF52" t="str">
            <v/>
          </cell>
          <cell r="AG52" t="str">
            <v/>
          </cell>
          <cell r="AH52">
            <v>0</v>
          </cell>
          <cell r="AI52">
            <v>0</v>
          </cell>
          <cell r="AJ52" t="e">
            <v>#N/A</v>
          </cell>
          <cell r="AK52" t="e">
            <v>#N/A</v>
          </cell>
          <cell r="AL52" t="e">
            <v>#N/A</v>
          </cell>
          <cell r="AM52" t="str">
            <v/>
          </cell>
          <cell r="AN52">
            <v>0</v>
          </cell>
          <cell r="AO52" t="str">
            <v/>
          </cell>
          <cell r="AP52">
            <v>0</v>
          </cell>
          <cell r="AQ52" t="str">
            <v/>
          </cell>
          <cell r="AR52">
            <v>0</v>
          </cell>
          <cell r="AS52" t="str">
            <v/>
          </cell>
          <cell r="AT52" t="str">
            <v/>
          </cell>
          <cell r="AU52">
            <v>0</v>
          </cell>
          <cell r="AV52" t="e">
            <v>#N/A</v>
          </cell>
          <cell r="AW52" t="e">
            <v>#N/A</v>
          </cell>
          <cell r="AX52" t="e">
            <v>#N/A</v>
          </cell>
          <cell r="AY52" t="str">
            <v/>
          </cell>
          <cell r="AZ52">
            <v>0</v>
          </cell>
          <cell r="BA52" t="str">
            <v/>
          </cell>
          <cell r="BB52">
            <v>0</v>
          </cell>
          <cell r="BC52" t="str">
            <v/>
          </cell>
        </row>
        <row r="53">
          <cell r="AF53" t="str">
            <v/>
          </cell>
          <cell r="AG53" t="str">
            <v/>
          </cell>
          <cell r="AH53">
            <v>0</v>
          </cell>
          <cell r="AI53">
            <v>0</v>
          </cell>
          <cell r="AJ53" t="e">
            <v>#N/A</v>
          </cell>
          <cell r="AK53" t="e">
            <v>#N/A</v>
          </cell>
          <cell r="AL53" t="e">
            <v>#N/A</v>
          </cell>
          <cell r="AM53" t="str">
            <v/>
          </cell>
          <cell r="AN53">
            <v>0</v>
          </cell>
          <cell r="AO53" t="str">
            <v/>
          </cell>
          <cell r="AP53">
            <v>0</v>
          </cell>
          <cell r="AQ53" t="str">
            <v/>
          </cell>
          <cell r="AR53">
            <v>0</v>
          </cell>
          <cell r="AS53" t="str">
            <v/>
          </cell>
          <cell r="AT53" t="str">
            <v/>
          </cell>
          <cell r="AU53">
            <v>0</v>
          </cell>
          <cell r="AV53" t="e">
            <v>#N/A</v>
          </cell>
          <cell r="AW53" t="e">
            <v>#N/A</v>
          </cell>
          <cell r="AX53" t="e">
            <v>#N/A</v>
          </cell>
          <cell r="AY53" t="str">
            <v/>
          </cell>
          <cell r="AZ53">
            <v>0</v>
          </cell>
          <cell r="BA53" t="str">
            <v/>
          </cell>
          <cell r="BB53">
            <v>0</v>
          </cell>
          <cell r="BC53" t="str">
            <v/>
          </cell>
        </row>
        <row r="54">
          <cell r="AF54" t="str">
            <v/>
          </cell>
          <cell r="AG54" t="str">
            <v/>
          </cell>
          <cell r="AH54">
            <v>0</v>
          </cell>
          <cell r="AI54">
            <v>0</v>
          </cell>
          <cell r="AJ54" t="e">
            <v>#N/A</v>
          </cell>
          <cell r="AK54" t="e">
            <v>#N/A</v>
          </cell>
          <cell r="AL54" t="e">
            <v>#N/A</v>
          </cell>
          <cell r="AM54" t="str">
            <v/>
          </cell>
          <cell r="AN54">
            <v>0</v>
          </cell>
          <cell r="AO54" t="str">
            <v/>
          </cell>
          <cell r="AP54">
            <v>0</v>
          </cell>
          <cell r="AQ54" t="str">
            <v/>
          </cell>
          <cell r="AR54">
            <v>0</v>
          </cell>
          <cell r="AS54" t="str">
            <v/>
          </cell>
          <cell r="AT54" t="str">
            <v/>
          </cell>
          <cell r="AU54">
            <v>0</v>
          </cell>
          <cell r="AV54" t="e">
            <v>#N/A</v>
          </cell>
          <cell r="AW54" t="e">
            <v>#N/A</v>
          </cell>
          <cell r="AX54" t="e">
            <v>#N/A</v>
          </cell>
          <cell r="AY54" t="str">
            <v/>
          </cell>
          <cell r="AZ54">
            <v>0</v>
          </cell>
          <cell r="BA54" t="str">
            <v/>
          </cell>
          <cell r="BB54">
            <v>0</v>
          </cell>
          <cell r="BC54" t="str">
            <v/>
          </cell>
        </row>
        <row r="55">
          <cell r="AF55" t="str">
            <v/>
          </cell>
          <cell r="AG55" t="str">
            <v/>
          </cell>
          <cell r="AH55">
            <v>0</v>
          </cell>
          <cell r="AI55">
            <v>0</v>
          </cell>
          <cell r="AJ55" t="e">
            <v>#N/A</v>
          </cell>
          <cell r="AK55" t="e">
            <v>#N/A</v>
          </cell>
          <cell r="AL55" t="e">
            <v>#N/A</v>
          </cell>
          <cell r="AM55" t="str">
            <v/>
          </cell>
          <cell r="AN55">
            <v>0</v>
          </cell>
          <cell r="AO55" t="str">
            <v/>
          </cell>
          <cell r="AP55">
            <v>0</v>
          </cell>
          <cell r="AQ55" t="str">
            <v/>
          </cell>
          <cell r="AR55">
            <v>0</v>
          </cell>
          <cell r="AS55" t="str">
            <v/>
          </cell>
          <cell r="AT55" t="str">
            <v/>
          </cell>
          <cell r="AU55">
            <v>0</v>
          </cell>
          <cell r="AV55" t="e">
            <v>#N/A</v>
          </cell>
          <cell r="AW55" t="e">
            <v>#N/A</v>
          </cell>
          <cell r="AX55" t="e">
            <v>#N/A</v>
          </cell>
          <cell r="AY55" t="str">
            <v/>
          </cell>
          <cell r="AZ55">
            <v>0</v>
          </cell>
          <cell r="BA55" t="str">
            <v/>
          </cell>
          <cell r="BB55">
            <v>0</v>
          </cell>
          <cell r="BC55" t="str">
            <v/>
          </cell>
        </row>
        <row r="56">
          <cell r="AF56" t="str">
            <v/>
          </cell>
          <cell r="AG56" t="str">
            <v/>
          </cell>
          <cell r="AH56">
            <v>0</v>
          </cell>
          <cell r="AI56">
            <v>0</v>
          </cell>
          <cell r="AJ56" t="e">
            <v>#N/A</v>
          </cell>
          <cell r="AK56" t="e">
            <v>#N/A</v>
          </cell>
          <cell r="AL56" t="e">
            <v>#N/A</v>
          </cell>
          <cell r="AM56" t="str">
            <v/>
          </cell>
          <cell r="AN56">
            <v>0</v>
          </cell>
          <cell r="AO56" t="str">
            <v/>
          </cell>
          <cell r="AP56">
            <v>0</v>
          </cell>
          <cell r="AQ56" t="str">
            <v/>
          </cell>
          <cell r="AR56">
            <v>0</v>
          </cell>
          <cell r="AS56" t="str">
            <v/>
          </cell>
          <cell r="AT56" t="str">
            <v/>
          </cell>
          <cell r="AU56">
            <v>0</v>
          </cell>
          <cell r="AV56" t="e">
            <v>#N/A</v>
          </cell>
          <cell r="AW56" t="e">
            <v>#N/A</v>
          </cell>
          <cell r="AX56" t="e">
            <v>#N/A</v>
          </cell>
          <cell r="AY56" t="str">
            <v/>
          </cell>
          <cell r="AZ56">
            <v>0</v>
          </cell>
          <cell r="BA56" t="str">
            <v/>
          </cell>
          <cell r="BB56">
            <v>0</v>
          </cell>
          <cell r="BC56" t="str">
            <v/>
          </cell>
        </row>
        <row r="57">
          <cell r="AF57" t="str">
            <v/>
          </cell>
          <cell r="AG57" t="str">
            <v/>
          </cell>
          <cell r="AH57">
            <v>0</v>
          </cell>
          <cell r="AI57">
            <v>0</v>
          </cell>
          <cell r="AJ57" t="e">
            <v>#N/A</v>
          </cell>
          <cell r="AK57" t="e">
            <v>#N/A</v>
          </cell>
          <cell r="AL57" t="e">
            <v>#N/A</v>
          </cell>
          <cell r="AM57" t="str">
            <v/>
          </cell>
          <cell r="AN57">
            <v>0</v>
          </cell>
          <cell r="AO57" t="str">
            <v/>
          </cell>
          <cell r="AP57">
            <v>0</v>
          </cell>
          <cell r="AQ57" t="str">
            <v/>
          </cell>
          <cell r="AR57">
            <v>0</v>
          </cell>
          <cell r="AS57" t="str">
            <v/>
          </cell>
          <cell r="AT57" t="str">
            <v/>
          </cell>
          <cell r="AU57">
            <v>0</v>
          </cell>
          <cell r="AV57" t="e">
            <v>#N/A</v>
          </cell>
          <cell r="AW57" t="e">
            <v>#N/A</v>
          </cell>
          <cell r="AX57" t="e">
            <v>#N/A</v>
          </cell>
          <cell r="AY57" t="str">
            <v/>
          </cell>
          <cell r="AZ57">
            <v>0</v>
          </cell>
          <cell r="BA57" t="str">
            <v/>
          </cell>
          <cell r="BB57">
            <v>0</v>
          </cell>
          <cell r="BC57" t="str">
            <v/>
          </cell>
        </row>
        <row r="58">
          <cell r="AF58" t="str">
            <v/>
          </cell>
          <cell r="AG58" t="str">
            <v/>
          </cell>
          <cell r="AH58">
            <v>0</v>
          </cell>
          <cell r="AI58">
            <v>0</v>
          </cell>
          <cell r="AJ58" t="e">
            <v>#N/A</v>
          </cell>
          <cell r="AK58" t="e">
            <v>#N/A</v>
          </cell>
          <cell r="AL58" t="e">
            <v>#N/A</v>
          </cell>
          <cell r="AM58" t="str">
            <v/>
          </cell>
          <cell r="AN58">
            <v>0</v>
          </cell>
          <cell r="AO58" t="str">
            <v/>
          </cell>
          <cell r="AP58">
            <v>0</v>
          </cell>
          <cell r="AQ58" t="str">
            <v/>
          </cell>
          <cell r="AR58">
            <v>0</v>
          </cell>
          <cell r="AS58" t="str">
            <v/>
          </cell>
          <cell r="AT58" t="str">
            <v/>
          </cell>
          <cell r="AU58">
            <v>0</v>
          </cell>
          <cell r="AV58" t="e">
            <v>#N/A</v>
          </cell>
          <cell r="AW58" t="e">
            <v>#N/A</v>
          </cell>
          <cell r="AX58" t="e">
            <v>#N/A</v>
          </cell>
          <cell r="AY58" t="str">
            <v/>
          </cell>
          <cell r="AZ58">
            <v>0</v>
          </cell>
          <cell r="BA58" t="str">
            <v/>
          </cell>
          <cell r="BB58">
            <v>0</v>
          </cell>
          <cell r="BC58" t="str">
            <v/>
          </cell>
        </row>
        <row r="59">
          <cell r="AF59" t="str">
            <v/>
          </cell>
          <cell r="AG59" t="str">
            <v/>
          </cell>
          <cell r="AH59">
            <v>0</v>
          </cell>
          <cell r="AI59">
            <v>0</v>
          </cell>
          <cell r="AJ59" t="e">
            <v>#N/A</v>
          </cell>
          <cell r="AK59" t="e">
            <v>#N/A</v>
          </cell>
          <cell r="AL59" t="e">
            <v>#N/A</v>
          </cell>
          <cell r="AM59" t="str">
            <v/>
          </cell>
          <cell r="AN59">
            <v>0</v>
          </cell>
          <cell r="AO59" t="str">
            <v/>
          </cell>
          <cell r="AP59">
            <v>0</v>
          </cell>
          <cell r="AQ59" t="str">
            <v/>
          </cell>
          <cell r="AR59">
            <v>0</v>
          </cell>
          <cell r="AS59" t="str">
            <v/>
          </cell>
          <cell r="AT59" t="str">
            <v/>
          </cell>
          <cell r="AU59">
            <v>0</v>
          </cell>
          <cell r="AV59" t="e">
            <v>#N/A</v>
          </cell>
          <cell r="AW59" t="e">
            <v>#N/A</v>
          </cell>
          <cell r="AX59" t="e">
            <v>#N/A</v>
          </cell>
          <cell r="AY59" t="str">
            <v/>
          </cell>
          <cell r="AZ59">
            <v>0</v>
          </cell>
          <cell r="BA59" t="str">
            <v/>
          </cell>
          <cell r="BB59">
            <v>0</v>
          </cell>
          <cell r="BC59" t="str">
            <v/>
          </cell>
        </row>
        <row r="60">
          <cell r="AF60" t="str">
            <v/>
          </cell>
          <cell r="AG60" t="str">
            <v/>
          </cell>
          <cell r="AH60">
            <v>0</v>
          </cell>
          <cell r="AI60">
            <v>0</v>
          </cell>
          <cell r="AJ60" t="e">
            <v>#N/A</v>
          </cell>
          <cell r="AK60" t="e">
            <v>#N/A</v>
          </cell>
          <cell r="AL60" t="e">
            <v>#N/A</v>
          </cell>
          <cell r="AM60" t="str">
            <v/>
          </cell>
          <cell r="AN60">
            <v>0</v>
          </cell>
          <cell r="AO60" t="str">
            <v/>
          </cell>
          <cell r="AP60">
            <v>0</v>
          </cell>
          <cell r="AQ60" t="str">
            <v/>
          </cell>
          <cell r="AR60">
            <v>0</v>
          </cell>
          <cell r="AS60" t="str">
            <v/>
          </cell>
          <cell r="AT60" t="str">
            <v/>
          </cell>
          <cell r="AU60">
            <v>0</v>
          </cell>
          <cell r="AV60" t="e">
            <v>#N/A</v>
          </cell>
          <cell r="AW60" t="e">
            <v>#N/A</v>
          </cell>
          <cell r="AX60" t="e">
            <v>#N/A</v>
          </cell>
          <cell r="AY60" t="str">
            <v/>
          </cell>
          <cell r="AZ60">
            <v>0</v>
          </cell>
          <cell r="BA60" t="str">
            <v/>
          </cell>
          <cell r="BB60">
            <v>0</v>
          </cell>
          <cell r="BC60" t="str">
            <v/>
          </cell>
        </row>
        <row r="61">
          <cell r="AF61" t="str">
            <v/>
          </cell>
          <cell r="AG61" t="str">
            <v/>
          </cell>
          <cell r="AH61">
            <v>0</v>
          </cell>
          <cell r="AI61">
            <v>0</v>
          </cell>
          <cell r="AJ61" t="e">
            <v>#N/A</v>
          </cell>
          <cell r="AK61" t="e">
            <v>#N/A</v>
          </cell>
          <cell r="AL61" t="e">
            <v>#N/A</v>
          </cell>
          <cell r="AM61" t="str">
            <v/>
          </cell>
          <cell r="AN61">
            <v>0</v>
          </cell>
          <cell r="AO61" t="str">
            <v/>
          </cell>
          <cell r="AP61">
            <v>0</v>
          </cell>
          <cell r="AQ61" t="str">
            <v/>
          </cell>
          <cell r="AR61">
            <v>0</v>
          </cell>
          <cell r="AS61" t="str">
            <v/>
          </cell>
          <cell r="AT61" t="str">
            <v/>
          </cell>
          <cell r="AU61">
            <v>0</v>
          </cell>
          <cell r="AV61" t="e">
            <v>#N/A</v>
          </cell>
          <cell r="AW61" t="e">
            <v>#N/A</v>
          </cell>
          <cell r="AX61" t="e">
            <v>#N/A</v>
          </cell>
          <cell r="AY61" t="str">
            <v/>
          </cell>
          <cell r="AZ61">
            <v>0</v>
          </cell>
          <cell r="BA61" t="str">
            <v/>
          </cell>
          <cell r="BB61">
            <v>0</v>
          </cell>
          <cell r="BC61" t="str">
            <v/>
          </cell>
        </row>
        <row r="62">
          <cell r="AF62" t="str">
            <v/>
          </cell>
          <cell r="AG62" t="str">
            <v/>
          </cell>
          <cell r="AH62">
            <v>0</v>
          </cell>
          <cell r="AI62">
            <v>0</v>
          </cell>
          <cell r="AJ62" t="e">
            <v>#N/A</v>
          </cell>
          <cell r="AK62" t="e">
            <v>#N/A</v>
          </cell>
          <cell r="AL62" t="e">
            <v>#N/A</v>
          </cell>
          <cell r="AM62" t="str">
            <v/>
          </cell>
          <cell r="AN62">
            <v>0</v>
          </cell>
          <cell r="AO62" t="str">
            <v/>
          </cell>
          <cell r="AP62">
            <v>0</v>
          </cell>
          <cell r="AQ62" t="str">
            <v/>
          </cell>
          <cell r="AR62">
            <v>0</v>
          </cell>
          <cell r="AS62" t="str">
            <v/>
          </cell>
          <cell r="AT62" t="str">
            <v/>
          </cell>
          <cell r="AU62">
            <v>0</v>
          </cell>
          <cell r="AV62" t="e">
            <v>#N/A</v>
          </cell>
          <cell r="AW62" t="e">
            <v>#N/A</v>
          </cell>
          <cell r="AX62" t="e">
            <v>#N/A</v>
          </cell>
          <cell r="AY62" t="str">
            <v/>
          </cell>
          <cell r="AZ62">
            <v>0</v>
          </cell>
          <cell r="BA62" t="str">
            <v/>
          </cell>
          <cell r="BB62">
            <v>0</v>
          </cell>
          <cell r="BC62" t="str">
            <v/>
          </cell>
        </row>
        <row r="63">
          <cell r="AF63" t="str">
            <v/>
          </cell>
          <cell r="AG63" t="str">
            <v/>
          </cell>
          <cell r="AH63">
            <v>0</v>
          </cell>
          <cell r="AI63">
            <v>0</v>
          </cell>
          <cell r="AJ63" t="e">
            <v>#N/A</v>
          </cell>
          <cell r="AK63" t="e">
            <v>#N/A</v>
          </cell>
          <cell r="AL63" t="e">
            <v>#N/A</v>
          </cell>
          <cell r="AM63" t="str">
            <v/>
          </cell>
          <cell r="AN63">
            <v>0</v>
          </cell>
          <cell r="AO63" t="str">
            <v/>
          </cell>
          <cell r="AP63">
            <v>0</v>
          </cell>
          <cell r="AQ63" t="str">
            <v/>
          </cell>
          <cell r="AR63">
            <v>0</v>
          </cell>
          <cell r="AS63" t="str">
            <v/>
          </cell>
          <cell r="AT63" t="str">
            <v/>
          </cell>
          <cell r="AU63">
            <v>0</v>
          </cell>
          <cell r="AV63" t="e">
            <v>#N/A</v>
          </cell>
          <cell r="AW63" t="e">
            <v>#N/A</v>
          </cell>
          <cell r="AX63" t="e">
            <v>#N/A</v>
          </cell>
          <cell r="AY63" t="str">
            <v/>
          </cell>
          <cell r="AZ63">
            <v>0</v>
          </cell>
          <cell r="BA63" t="str">
            <v/>
          </cell>
          <cell r="BB63">
            <v>0</v>
          </cell>
          <cell r="BC63" t="str">
            <v/>
          </cell>
        </row>
        <row r="64">
          <cell r="AF64" t="str">
            <v/>
          </cell>
          <cell r="AG64" t="str">
            <v/>
          </cell>
          <cell r="AH64">
            <v>0</v>
          </cell>
          <cell r="AI64">
            <v>0</v>
          </cell>
          <cell r="AJ64" t="e">
            <v>#N/A</v>
          </cell>
          <cell r="AK64" t="e">
            <v>#N/A</v>
          </cell>
          <cell r="AL64" t="e">
            <v>#N/A</v>
          </cell>
          <cell r="AM64" t="str">
            <v/>
          </cell>
          <cell r="AN64">
            <v>0</v>
          </cell>
          <cell r="AO64" t="str">
            <v/>
          </cell>
          <cell r="AP64">
            <v>0</v>
          </cell>
          <cell r="AQ64" t="str">
            <v/>
          </cell>
          <cell r="AR64">
            <v>0</v>
          </cell>
          <cell r="AS64" t="str">
            <v/>
          </cell>
          <cell r="AT64" t="str">
            <v/>
          </cell>
          <cell r="AU64">
            <v>0</v>
          </cell>
          <cell r="AV64" t="e">
            <v>#N/A</v>
          </cell>
          <cell r="AW64" t="e">
            <v>#N/A</v>
          </cell>
          <cell r="AX64" t="e">
            <v>#N/A</v>
          </cell>
          <cell r="AY64" t="str">
            <v/>
          </cell>
          <cell r="AZ64">
            <v>0</v>
          </cell>
          <cell r="BA64" t="str">
            <v/>
          </cell>
          <cell r="BB64">
            <v>0</v>
          </cell>
          <cell r="BC64" t="str">
            <v/>
          </cell>
        </row>
        <row r="65">
          <cell r="AF65" t="str">
            <v/>
          </cell>
          <cell r="AG65" t="str">
            <v/>
          </cell>
          <cell r="AH65">
            <v>0</v>
          </cell>
          <cell r="AI65">
            <v>0</v>
          </cell>
          <cell r="AJ65" t="e">
            <v>#N/A</v>
          </cell>
          <cell r="AK65" t="e">
            <v>#N/A</v>
          </cell>
          <cell r="AL65" t="e">
            <v>#N/A</v>
          </cell>
          <cell r="AM65" t="str">
            <v/>
          </cell>
          <cell r="AN65">
            <v>0</v>
          </cell>
          <cell r="AO65" t="str">
            <v/>
          </cell>
          <cell r="AP65">
            <v>0</v>
          </cell>
          <cell r="AQ65" t="str">
            <v/>
          </cell>
          <cell r="AR65">
            <v>0</v>
          </cell>
          <cell r="AS65" t="str">
            <v/>
          </cell>
          <cell r="AT65" t="str">
            <v/>
          </cell>
          <cell r="AU65">
            <v>0</v>
          </cell>
          <cell r="AV65" t="e">
            <v>#N/A</v>
          </cell>
          <cell r="AW65" t="e">
            <v>#N/A</v>
          </cell>
          <cell r="AX65" t="e">
            <v>#N/A</v>
          </cell>
          <cell r="AY65" t="str">
            <v/>
          </cell>
          <cell r="AZ65">
            <v>0</v>
          </cell>
          <cell r="BA65" t="str">
            <v/>
          </cell>
          <cell r="BB65">
            <v>0</v>
          </cell>
          <cell r="BC65" t="str">
            <v/>
          </cell>
        </row>
        <row r="66">
          <cell r="AF66" t="str">
            <v/>
          </cell>
          <cell r="AG66" t="str">
            <v/>
          </cell>
          <cell r="AH66">
            <v>0</v>
          </cell>
          <cell r="AI66">
            <v>0</v>
          </cell>
          <cell r="AJ66" t="e">
            <v>#N/A</v>
          </cell>
          <cell r="AK66" t="e">
            <v>#N/A</v>
          </cell>
          <cell r="AL66" t="e">
            <v>#N/A</v>
          </cell>
          <cell r="AM66" t="str">
            <v/>
          </cell>
          <cell r="AN66">
            <v>0</v>
          </cell>
          <cell r="AO66" t="str">
            <v/>
          </cell>
          <cell r="AP66">
            <v>0</v>
          </cell>
          <cell r="AQ66" t="str">
            <v/>
          </cell>
          <cell r="AR66">
            <v>0</v>
          </cell>
          <cell r="AS66" t="str">
            <v/>
          </cell>
          <cell r="AT66" t="str">
            <v/>
          </cell>
          <cell r="AU66">
            <v>0</v>
          </cell>
          <cell r="AV66" t="e">
            <v>#N/A</v>
          </cell>
          <cell r="AW66" t="e">
            <v>#N/A</v>
          </cell>
          <cell r="AX66" t="e">
            <v>#N/A</v>
          </cell>
          <cell r="AY66" t="str">
            <v/>
          </cell>
          <cell r="AZ66">
            <v>0</v>
          </cell>
          <cell r="BA66" t="str">
            <v/>
          </cell>
          <cell r="BB66">
            <v>0</v>
          </cell>
          <cell r="BC66" t="str">
            <v/>
          </cell>
        </row>
        <row r="67">
          <cell r="AF67" t="str">
            <v/>
          </cell>
          <cell r="AG67" t="str">
            <v/>
          </cell>
          <cell r="AH67">
            <v>0</v>
          </cell>
          <cell r="AI67">
            <v>0</v>
          </cell>
          <cell r="AJ67" t="e">
            <v>#N/A</v>
          </cell>
          <cell r="AK67" t="e">
            <v>#N/A</v>
          </cell>
          <cell r="AL67" t="e">
            <v>#N/A</v>
          </cell>
          <cell r="AM67" t="str">
            <v/>
          </cell>
          <cell r="AN67">
            <v>0</v>
          </cell>
          <cell r="AO67" t="str">
            <v/>
          </cell>
          <cell r="AP67">
            <v>0</v>
          </cell>
          <cell r="AQ67" t="str">
            <v/>
          </cell>
          <cell r="AR67">
            <v>0</v>
          </cell>
          <cell r="AS67" t="str">
            <v/>
          </cell>
          <cell r="AT67" t="str">
            <v/>
          </cell>
          <cell r="AU67">
            <v>0</v>
          </cell>
          <cell r="AV67" t="e">
            <v>#N/A</v>
          </cell>
          <cell r="AW67" t="e">
            <v>#N/A</v>
          </cell>
          <cell r="AX67" t="e">
            <v>#N/A</v>
          </cell>
          <cell r="AY67" t="str">
            <v/>
          </cell>
          <cell r="AZ67">
            <v>0</v>
          </cell>
          <cell r="BA67" t="str">
            <v/>
          </cell>
          <cell r="BB67">
            <v>0</v>
          </cell>
          <cell r="BC67" t="str">
            <v/>
          </cell>
        </row>
        <row r="68">
          <cell r="AF68" t="str">
            <v/>
          </cell>
          <cell r="AG68" t="str">
            <v/>
          </cell>
          <cell r="AH68">
            <v>0</v>
          </cell>
          <cell r="AI68">
            <v>0</v>
          </cell>
          <cell r="AJ68" t="e">
            <v>#N/A</v>
          </cell>
          <cell r="AK68" t="e">
            <v>#N/A</v>
          </cell>
          <cell r="AL68" t="e">
            <v>#N/A</v>
          </cell>
          <cell r="AM68" t="str">
            <v/>
          </cell>
          <cell r="AN68">
            <v>0</v>
          </cell>
          <cell r="AO68" t="str">
            <v/>
          </cell>
          <cell r="AP68">
            <v>0</v>
          </cell>
          <cell r="AQ68" t="str">
            <v/>
          </cell>
          <cell r="AR68">
            <v>0</v>
          </cell>
          <cell r="AS68" t="str">
            <v/>
          </cell>
          <cell r="AT68" t="str">
            <v/>
          </cell>
          <cell r="AU68">
            <v>0</v>
          </cell>
          <cell r="AV68" t="e">
            <v>#N/A</v>
          </cell>
          <cell r="AW68" t="e">
            <v>#N/A</v>
          </cell>
          <cell r="AX68" t="e">
            <v>#N/A</v>
          </cell>
          <cell r="AY68" t="str">
            <v/>
          </cell>
          <cell r="AZ68">
            <v>0</v>
          </cell>
          <cell r="BA68" t="str">
            <v/>
          </cell>
          <cell r="BB68">
            <v>0</v>
          </cell>
          <cell r="BC68" t="str">
            <v/>
          </cell>
        </row>
        <row r="69">
          <cell r="AF69" t="str">
            <v/>
          </cell>
          <cell r="AG69" t="str">
            <v/>
          </cell>
          <cell r="AH69">
            <v>0</v>
          </cell>
          <cell r="AI69">
            <v>0</v>
          </cell>
          <cell r="AJ69" t="e">
            <v>#N/A</v>
          </cell>
          <cell r="AK69" t="e">
            <v>#N/A</v>
          </cell>
          <cell r="AL69" t="e">
            <v>#N/A</v>
          </cell>
          <cell r="AM69" t="str">
            <v/>
          </cell>
          <cell r="AN69">
            <v>0</v>
          </cell>
          <cell r="AO69" t="str">
            <v/>
          </cell>
          <cell r="AP69">
            <v>0</v>
          </cell>
          <cell r="AQ69" t="str">
            <v/>
          </cell>
          <cell r="AR69">
            <v>0</v>
          </cell>
          <cell r="AS69" t="str">
            <v/>
          </cell>
          <cell r="AT69" t="str">
            <v/>
          </cell>
          <cell r="AU69">
            <v>0</v>
          </cell>
          <cell r="AV69" t="e">
            <v>#N/A</v>
          </cell>
          <cell r="AW69" t="e">
            <v>#N/A</v>
          </cell>
          <cell r="AX69" t="e">
            <v>#N/A</v>
          </cell>
          <cell r="AY69" t="str">
            <v/>
          </cell>
          <cell r="AZ69">
            <v>0</v>
          </cell>
          <cell r="BA69" t="str">
            <v/>
          </cell>
          <cell r="BB69">
            <v>0</v>
          </cell>
          <cell r="BC69" t="str">
            <v/>
          </cell>
        </row>
        <row r="70">
          <cell r="AF70" t="str">
            <v/>
          </cell>
          <cell r="AG70" t="str">
            <v/>
          </cell>
          <cell r="AH70">
            <v>0</v>
          </cell>
          <cell r="AI70">
            <v>0</v>
          </cell>
          <cell r="AJ70" t="e">
            <v>#N/A</v>
          </cell>
          <cell r="AK70" t="e">
            <v>#N/A</v>
          </cell>
          <cell r="AL70" t="e">
            <v>#N/A</v>
          </cell>
          <cell r="AM70" t="str">
            <v/>
          </cell>
          <cell r="AN70">
            <v>0</v>
          </cell>
          <cell r="AO70" t="str">
            <v/>
          </cell>
          <cell r="AP70">
            <v>0</v>
          </cell>
          <cell r="AQ70" t="str">
            <v/>
          </cell>
          <cell r="AR70">
            <v>0</v>
          </cell>
          <cell r="AS70" t="str">
            <v/>
          </cell>
          <cell r="AT70" t="str">
            <v/>
          </cell>
          <cell r="AU70">
            <v>0</v>
          </cell>
          <cell r="AV70" t="e">
            <v>#N/A</v>
          </cell>
          <cell r="AW70" t="e">
            <v>#N/A</v>
          </cell>
          <cell r="AX70" t="e">
            <v>#N/A</v>
          </cell>
          <cell r="AY70" t="str">
            <v/>
          </cell>
          <cell r="AZ70">
            <v>0</v>
          </cell>
          <cell r="BA70" t="str">
            <v/>
          </cell>
          <cell r="BB70">
            <v>0</v>
          </cell>
          <cell r="BC70" t="str">
            <v/>
          </cell>
        </row>
        <row r="71">
          <cell r="AF71" t="str">
            <v/>
          </cell>
          <cell r="AG71" t="str">
            <v/>
          </cell>
          <cell r="AH71">
            <v>0</v>
          </cell>
          <cell r="AI71">
            <v>0</v>
          </cell>
          <cell r="AJ71" t="e">
            <v>#N/A</v>
          </cell>
          <cell r="AK71" t="e">
            <v>#N/A</v>
          </cell>
          <cell r="AL71" t="e">
            <v>#N/A</v>
          </cell>
          <cell r="AM71" t="str">
            <v/>
          </cell>
          <cell r="AN71">
            <v>0</v>
          </cell>
          <cell r="AO71" t="str">
            <v/>
          </cell>
          <cell r="AP71">
            <v>0</v>
          </cell>
          <cell r="AQ71" t="str">
            <v/>
          </cell>
          <cell r="AR71">
            <v>0</v>
          </cell>
          <cell r="AS71" t="str">
            <v/>
          </cell>
          <cell r="AT71" t="str">
            <v/>
          </cell>
          <cell r="AU71">
            <v>0</v>
          </cell>
          <cell r="AV71" t="e">
            <v>#N/A</v>
          </cell>
          <cell r="AW71" t="e">
            <v>#N/A</v>
          </cell>
          <cell r="AX71" t="e">
            <v>#N/A</v>
          </cell>
          <cell r="AY71" t="str">
            <v/>
          </cell>
          <cell r="AZ71">
            <v>0</v>
          </cell>
          <cell r="BA71" t="str">
            <v/>
          </cell>
          <cell r="BB71">
            <v>0</v>
          </cell>
          <cell r="BC71" t="str">
            <v/>
          </cell>
        </row>
        <row r="72">
          <cell r="AF72" t="str">
            <v/>
          </cell>
          <cell r="AG72" t="str">
            <v/>
          </cell>
          <cell r="AH72">
            <v>0</v>
          </cell>
          <cell r="AI72">
            <v>0</v>
          </cell>
          <cell r="AJ72" t="e">
            <v>#N/A</v>
          </cell>
          <cell r="AK72" t="e">
            <v>#N/A</v>
          </cell>
          <cell r="AL72" t="e">
            <v>#N/A</v>
          </cell>
          <cell r="AM72" t="str">
            <v/>
          </cell>
          <cell r="AN72">
            <v>0</v>
          </cell>
          <cell r="AO72" t="str">
            <v/>
          </cell>
          <cell r="AP72">
            <v>0</v>
          </cell>
          <cell r="AQ72" t="str">
            <v/>
          </cell>
          <cell r="AR72">
            <v>0</v>
          </cell>
          <cell r="AS72" t="str">
            <v/>
          </cell>
          <cell r="AT72" t="str">
            <v/>
          </cell>
          <cell r="AU72">
            <v>0</v>
          </cell>
          <cell r="AV72" t="e">
            <v>#N/A</v>
          </cell>
          <cell r="AW72" t="e">
            <v>#N/A</v>
          </cell>
          <cell r="AX72" t="e">
            <v>#N/A</v>
          </cell>
          <cell r="AY72" t="str">
            <v/>
          </cell>
          <cell r="AZ72">
            <v>0</v>
          </cell>
          <cell r="BA72" t="str">
            <v/>
          </cell>
          <cell r="BB72">
            <v>0</v>
          </cell>
          <cell r="BC72" t="str">
            <v/>
          </cell>
        </row>
        <row r="73">
          <cell r="AF73" t="str">
            <v/>
          </cell>
          <cell r="AG73" t="str">
            <v/>
          </cell>
          <cell r="AH73">
            <v>0</v>
          </cell>
          <cell r="AI73">
            <v>0</v>
          </cell>
          <cell r="AJ73" t="e">
            <v>#N/A</v>
          </cell>
          <cell r="AK73" t="e">
            <v>#N/A</v>
          </cell>
          <cell r="AL73" t="e">
            <v>#N/A</v>
          </cell>
          <cell r="AM73" t="str">
            <v/>
          </cell>
          <cell r="AN73">
            <v>0</v>
          </cell>
          <cell r="AO73" t="str">
            <v/>
          </cell>
          <cell r="AP73">
            <v>0</v>
          </cell>
          <cell r="AQ73" t="str">
            <v/>
          </cell>
          <cell r="AR73">
            <v>0</v>
          </cell>
          <cell r="AS73" t="str">
            <v/>
          </cell>
          <cell r="AT73" t="str">
            <v/>
          </cell>
          <cell r="AU73">
            <v>0</v>
          </cell>
          <cell r="AV73" t="e">
            <v>#N/A</v>
          </cell>
          <cell r="AW73" t="e">
            <v>#N/A</v>
          </cell>
          <cell r="AX73" t="e">
            <v>#N/A</v>
          </cell>
          <cell r="AY73" t="str">
            <v/>
          </cell>
          <cell r="AZ73">
            <v>0</v>
          </cell>
          <cell r="BA73" t="str">
            <v/>
          </cell>
          <cell r="BB73">
            <v>0</v>
          </cell>
          <cell r="BC73" t="str">
            <v/>
          </cell>
        </row>
        <row r="74">
          <cell r="AF74" t="str">
            <v/>
          </cell>
          <cell r="AG74" t="str">
            <v/>
          </cell>
          <cell r="AH74">
            <v>0</v>
          </cell>
          <cell r="AI74">
            <v>0</v>
          </cell>
          <cell r="AJ74" t="e">
            <v>#N/A</v>
          </cell>
          <cell r="AK74" t="e">
            <v>#N/A</v>
          </cell>
          <cell r="AL74" t="e">
            <v>#N/A</v>
          </cell>
          <cell r="AM74" t="str">
            <v/>
          </cell>
          <cell r="AN74">
            <v>0</v>
          </cell>
          <cell r="AO74" t="str">
            <v/>
          </cell>
          <cell r="AP74">
            <v>0</v>
          </cell>
          <cell r="AQ74" t="str">
            <v/>
          </cell>
          <cell r="AR74">
            <v>0</v>
          </cell>
          <cell r="AS74" t="str">
            <v/>
          </cell>
          <cell r="AT74" t="str">
            <v/>
          </cell>
          <cell r="AU74">
            <v>0</v>
          </cell>
          <cell r="AV74" t="e">
            <v>#N/A</v>
          </cell>
          <cell r="AW74" t="e">
            <v>#N/A</v>
          </cell>
          <cell r="AX74" t="e">
            <v>#N/A</v>
          </cell>
          <cell r="AY74" t="str">
            <v/>
          </cell>
          <cell r="AZ74">
            <v>0</v>
          </cell>
          <cell r="BA74" t="str">
            <v/>
          </cell>
          <cell r="BB74">
            <v>0</v>
          </cell>
          <cell r="BC74" t="str">
            <v/>
          </cell>
        </row>
        <row r="75">
          <cell r="AF75" t="str">
            <v/>
          </cell>
          <cell r="AG75" t="str">
            <v/>
          </cell>
          <cell r="AH75">
            <v>0</v>
          </cell>
          <cell r="AI75">
            <v>0</v>
          </cell>
          <cell r="AJ75" t="e">
            <v>#N/A</v>
          </cell>
          <cell r="AK75" t="e">
            <v>#N/A</v>
          </cell>
          <cell r="AL75" t="e">
            <v>#N/A</v>
          </cell>
          <cell r="AM75" t="str">
            <v/>
          </cell>
          <cell r="AN75">
            <v>0</v>
          </cell>
          <cell r="AO75" t="str">
            <v/>
          </cell>
          <cell r="AP75">
            <v>0</v>
          </cell>
          <cell r="AQ75" t="str">
            <v/>
          </cell>
          <cell r="AR75">
            <v>0</v>
          </cell>
          <cell r="AS75" t="str">
            <v/>
          </cell>
          <cell r="AT75" t="str">
            <v/>
          </cell>
          <cell r="AU75">
            <v>0</v>
          </cell>
          <cell r="AV75" t="e">
            <v>#N/A</v>
          </cell>
          <cell r="AW75" t="e">
            <v>#N/A</v>
          </cell>
          <cell r="AX75" t="e">
            <v>#N/A</v>
          </cell>
          <cell r="AY75" t="str">
            <v/>
          </cell>
          <cell r="AZ75">
            <v>0</v>
          </cell>
          <cell r="BA75" t="str">
            <v/>
          </cell>
          <cell r="BB75">
            <v>0</v>
          </cell>
          <cell r="BC75" t="str">
            <v/>
          </cell>
        </row>
        <row r="76">
          <cell r="AF76" t="str">
            <v/>
          </cell>
          <cell r="AG76" t="str">
            <v/>
          </cell>
          <cell r="AH76">
            <v>0</v>
          </cell>
          <cell r="AI76">
            <v>0</v>
          </cell>
          <cell r="AJ76" t="e">
            <v>#N/A</v>
          </cell>
          <cell r="AK76" t="e">
            <v>#N/A</v>
          </cell>
          <cell r="AL76" t="e">
            <v>#N/A</v>
          </cell>
          <cell r="AM76" t="str">
            <v/>
          </cell>
          <cell r="AN76">
            <v>0</v>
          </cell>
          <cell r="AO76" t="str">
            <v/>
          </cell>
          <cell r="AP76">
            <v>0</v>
          </cell>
          <cell r="AQ76" t="str">
            <v/>
          </cell>
          <cell r="AR76">
            <v>0</v>
          </cell>
          <cell r="AS76" t="str">
            <v/>
          </cell>
          <cell r="AT76" t="str">
            <v/>
          </cell>
          <cell r="AU76">
            <v>0</v>
          </cell>
          <cell r="AV76" t="e">
            <v>#N/A</v>
          </cell>
          <cell r="AW76" t="e">
            <v>#N/A</v>
          </cell>
          <cell r="AX76" t="e">
            <v>#N/A</v>
          </cell>
          <cell r="AY76" t="str">
            <v/>
          </cell>
          <cell r="AZ76">
            <v>0</v>
          </cell>
          <cell r="BA76" t="str">
            <v/>
          </cell>
          <cell r="BB76">
            <v>0</v>
          </cell>
          <cell r="BC76" t="str">
            <v/>
          </cell>
        </row>
        <row r="77">
          <cell r="AF77" t="str">
            <v/>
          </cell>
          <cell r="AG77" t="str">
            <v/>
          </cell>
          <cell r="AH77">
            <v>0</v>
          </cell>
          <cell r="AI77">
            <v>0</v>
          </cell>
          <cell r="AJ77" t="e">
            <v>#N/A</v>
          </cell>
          <cell r="AK77" t="e">
            <v>#N/A</v>
          </cell>
          <cell r="AL77" t="e">
            <v>#N/A</v>
          </cell>
          <cell r="AM77" t="str">
            <v/>
          </cell>
          <cell r="AN77">
            <v>0</v>
          </cell>
          <cell r="AO77" t="str">
            <v/>
          </cell>
          <cell r="AP77">
            <v>0</v>
          </cell>
          <cell r="AQ77" t="str">
            <v/>
          </cell>
          <cell r="AR77">
            <v>0</v>
          </cell>
          <cell r="AS77" t="str">
            <v/>
          </cell>
          <cell r="AT77" t="str">
            <v/>
          </cell>
          <cell r="AU77">
            <v>0</v>
          </cell>
          <cell r="AV77" t="e">
            <v>#N/A</v>
          </cell>
          <cell r="AW77" t="e">
            <v>#N/A</v>
          </cell>
          <cell r="AX77" t="e">
            <v>#N/A</v>
          </cell>
          <cell r="AY77" t="str">
            <v/>
          </cell>
          <cell r="AZ77">
            <v>0</v>
          </cell>
          <cell r="BA77" t="str">
            <v/>
          </cell>
          <cell r="BB77">
            <v>0</v>
          </cell>
          <cell r="BC77" t="str">
            <v/>
          </cell>
        </row>
        <row r="78">
          <cell r="AF78" t="str">
            <v/>
          </cell>
          <cell r="AG78" t="str">
            <v/>
          </cell>
          <cell r="AH78">
            <v>0</v>
          </cell>
          <cell r="AI78">
            <v>0</v>
          </cell>
          <cell r="AJ78" t="e">
            <v>#N/A</v>
          </cell>
          <cell r="AK78" t="e">
            <v>#N/A</v>
          </cell>
          <cell r="AL78" t="e">
            <v>#N/A</v>
          </cell>
          <cell r="AM78" t="str">
            <v/>
          </cell>
          <cell r="AN78">
            <v>0</v>
          </cell>
          <cell r="AO78" t="str">
            <v/>
          </cell>
          <cell r="AP78">
            <v>0</v>
          </cell>
          <cell r="AQ78" t="str">
            <v/>
          </cell>
          <cell r="AR78">
            <v>0</v>
          </cell>
          <cell r="AS78" t="str">
            <v/>
          </cell>
          <cell r="AT78" t="str">
            <v/>
          </cell>
          <cell r="AU78">
            <v>0</v>
          </cell>
          <cell r="AV78" t="e">
            <v>#N/A</v>
          </cell>
          <cell r="AW78" t="e">
            <v>#N/A</v>
          </cell>
          <cell r="AX78" t="e">
            <v>#N/A</v>
          </cell>
          <cell r="AY78" t="str">
            <v/>
          </cell>
          <cell r="AZ78">
            <v>0</v>
          </cell>
          <cell r="BA78" t="str">
            <v/>
          </cell>
          <cell r="BB78">
            <v>0</v>
          </cell>
          <cell r="BC78" t="str">
            <v/>
          </cell>
        </row>
        <row r="79">
          <cell r="AF79" t="str">
            <v/>
          </cell>
          <cell r="AG79" t="str">
            <v/>
          </cell>
          <cell r="AH79">
            <v>0</v>
          </cell>
          <cell r="AI79">
            <v>0</v>
          </cell>
          <cell r="AJ79" t="e">
            <v>#N/A</v>
          </cell>
          <cell r="AK79" t="e">
            <v>#N/A</v>
          </cell>
          <cell r="AL79" t="e">
            <v>#N/A</v>
          </cell>
          <cell r="AM79" t="str">
            <v/>
          </cell>
          <cell r="AN79">
            <v>0</v>
          </cell>
          <cell r="AO79" t="str">
            <v/>
          </cell>
          <cell r="AP79">
            <v>0</v>
          </cell>
          <cell r="AQ79" t="str">
            <v/>
          </cell>
          <cell r="AR79">
            <v>0</v>
          </cell>
          <cell r="AS79" t="str">
            <v/>
          </cell>
          <cell r="AT79" t="str">
            <v/>
          </cell>
          <cell r="AU79">
            <v>0</v>
          </cell>
          <cell r="AV79" t="e">
            <v>#N/A</v>
          </cell>
          <cell r="AW79" t="e">
            <v>#N/A</v>
          </cell>
          <cell r="AX79" t="e">
            <v>#N/A</v>
          </cell>
          <cell r="AY79" t="str">
            <v/>
          </cell>
          <cell r="AZ79">
            <v>0</v>
          </cell>
          <cell r="BA79" t="str">
            <v/>
          </cell>
          <cell r="BB79">
            <v>0</v>
          </cell>
          <cell r="BC79" t="str">
            <v/>
          </cell>
        </row>
        <row r="80">
          <cell r="AF80" t="str">
            <v/>
          </cell>
          <cell r="AG80" t="str">
            <v/>
          </cell>
          <cell r="AH80">
            <v>0</v>
          </cell>
          <cell r="AI80">
            <v>0</v>
          </cell>
          <cell r="AJ80" t="e">
            <v>#N/A</v>
          </cell>
          <cell r="AK80" t="e">
            <v>#N/A</v>
          </cell>
          <cell r="AL80" t="e">
            <v>#N/A</v>
          </cell>
          <cell r="AM80" t="str">
            <v/>
          </cell>
          <cell r="AN80">
            <v>0</v>
          </cell>
          <cell r="AO80" t="str">
            <v/>
          </cell>
          <cell r="AP80">
            <v>0</v>
          </cell>
          <cell r="AQ80" t="str">
            <v/>
          </cell>
          <cell r="AR80">
            <v>0</v>
          </cell>
          <cell r="AS80" t="str">
            <v/>
          </cell>
          <cell r="AT80" t="str">
            <v/>
          </cell>
          <cell r="AU80">
            <v>0</v>
          </cell>
          <cell r="AV80" t="e">
            <v>#N/A</v>
          </cell>
          <cell r="AW80" t="e">
            <v>#N/A</v>
          </cell>
          <cell r="AX80" t="e">
            <v>#N/A</v>
          </cell>
          <cell r="AY80" t="str">
            <v/>
          </cell>
          <cell r="AZ80">
            <v>0</v>
          </cell>
          <cell r="BA80" t="str">
            <v/>
          </cell>
          <cell r="BB80">
            <v>0</v>
          </cell>
          <cell r="BC80" t="str">
            <v/>
          </cell>
        </row>
        <row r="81">
          <cell r="AF81" t="str">
            <v/>
          </cell>
          <cell r="AG81" t="str">
            <v/>
          </cell>
          <cell r="AH81">
            <v>0</v>
          </cell>
          <cell r="AI81">
            <v>0</v>
          </cell>
          <cell r="AJ81" t="e">
            <v>#N/A</v>
          </cell>
          <cell r="AK81" t="e">
            <v>#N/A</v>
          </cell>
          <cell r="AL81" t="e">
            <v>#N/A</v>
          </cell>
          <cell r="AM81" t="str">
            <v/>
          </cell>
          <cell r="AN81">
            <v>0</v>
          </cell>
          <cell r="AO81" t="str">
            <v/>
          </cell>
          <cell r="AP81">
            <v>0</v>
          </cell>
          <cell r="AQ81" t="str">
            <v/>
          </cell>
          <cell r="AR81">
            <v>0</v>
          </cell>
          <cell r="AS81" t="str">
            <v/>
          </cell>
          <cell r="AT81" t="str">
            <v/>
          </cell>
          <cell r="AU81">
            <v>0</v>
          </cell>
          <cell r="AV81" t="e">
            <v>#N/A</v>
          </cell>
          <cell r="AW81" t="e">
            <v>#N/A</v>
          </cell>
          <cell r="AX81" t="e">
            <v>#N/A</v>
          </cell>
          <cell r="AY81" t="str">
            <v/>
          </cell>
          <cell r="AZ81">
            <v>0</v>
          </cell>
          <cell r="BA81" t="str">
            <v/>
          </cell>
          <cell r="BB81">
            <v>0</v>
          </cell>
          <cell r="BC81" t="str">
            <v/>
          </cell>
        </row>
        <row r="82">
          <cell r="AF82" t="str">
            <v/>
          </cell>
          <cell r="AG82" t="str">
            <v/>
          </cell>
          <cell r="AH82">
            <v>0</v>
          </cell>
          <cell r="AI82">
            <v>0</v>
          </cell>
          <cell r="AJ82" t="e">
            <v>#N/A</v>
          </cell>
          <cell r="AK82" t="e">
            <v>#N/A</v>
          </cell>
          <cell r="AL82" t="e">
            <v>#N/A</v>
          </cell>
          <cell r="AM82" t="str">
            <v/>
          </cell>
          <cell r="AN82">
            <v>0</v>
          </cell>
          <cell r="AO82" t="str">
            <v/>
          </cell>
          <cell r="AP82">
            <v>0</v>
          </cell>
          <cell r="AQ82" t="str">
            <v/>
          </cell>
          <cell r="AR82">
            <v>0</v>
          </cell>
          <cell r="AS82" t="str">
            <v/>
          </cell>
          <cell r="AT82" t="str">
            <v/>
          </cell>
          <cell r="AU82">
            <v>0</v>
          </cell>
          <cell r="AV82" t="e">
            <v>#N/A</v>
          </cell>
          <cell r="AW82" t="e">
            <v>#N/A</v>
          </cell>
          <cell r="AX82" t="e">
            <v>#N/A</v>
          </cell>
          <cell r="AY82" t="str">
            <v/>
          </cell>
          <cell r="AZ82">
            <v>0</v>
          </cell>
          <cell r="BA82" t="str">
            <v/>
          </cell>
          <cell r="BB82">
            <v>0</v>
          </cell>
          <cell r="BC82" t="str">
            <v/>
          </cell>
        </row>
        <row r="83">
          <cell r="AF83" t="str">
            <v/>
          </cell>
          <cell r="AG83" t="str">
            <v/>
          </cell>
          <cell r="AH83">
            <v>0</v>
          </cell>
          <cell r="AI83">
            <v>0</v>
          </cell>
          <cell r="AJ83" t="e">
            <v>#N/A</v>
          </cell>
          <cell r="AK83" t="e">
            <v>#N/A</v>
          </cell>
          <cell r="AL83" t="e">
            <v>#N/A</v>
          </cell>
          <cell r="AM83" t="str">
            <v/>
          </cell>
          <cell r="AN83">
            <v>0</v>
          </cell>
          <cell r="AO83" t="str">
            <v/>
          </cell>
          <cell r="AP83">
            <v>0</v>
          </cell>
          <cell r="AQ83" t="str">
            <v/>
          </cell>
          <cell r="AR83">
            <v>0</v>
          </cell>
          <cell r="AS83" t="str">
            <v/>
          </cell>
          <cell r="AT83" t="str">
            <v/>
          </cell>
          <cell r="AU83">
            <v>0</v>
          </cell>
          <cell r="AV83" t="e">
            <v>#N/A</v>
          </cell>
          <cell r="AW83" t="e">
            <v>#N/A</v>
          </cell>
          <cell r="AX83" t="e">
            <v>#N/A</v>
          </cell>
          <cell r="AY83" t="str">
            <v/>
          </cell>
          <cell r="AZ83">
            <v>0</v>
          </cell>
          <cell r="BA83" t="str">
            <v/>
          </cell>
          <cell r="BB83">
            <v>0</v>
          </cell>
          <cell r="BC83" t="str">
            <v/>
          </cell>
        </row>
        <row r="84">
          <cell r="AF84" t="str">
            <v/>
          </cell>
          <cell r="AG84" t="str">
            <v/>
          </cell>
          <cell r="AH84">
            <v>0</v>
          </cell>
          <cell r="AI84">
            <v>0</v>
          </cell>
          <cell r="AJ84" t="e">
            <v>#N/A</v>
          </cell>
          <cell r="AK84" t="e">
            <v>#N/A</v>
          </cell>
          <cell r="AL84" t="e">
            <v>#N/A</v>
          </cell>
          <cell r="AM84" t="str">
            <v/>
          </cell>
          <cell r="AN84">
            <v>0</v>
          </cell>
          <cell r="AO84" t="str">
            <v/>
          </cell>
          <cell r="AP84">
            <v>0</v>
          </cell>
          <cell r="AQ84" t="str">
            <v/>
          </cell>
          <cell r="AR84">
            <v>0</v>
          </cell>
          <cell r="AS84" t="str">
            <v/>
          </cell>
          <cell r="AT84" t="str">
            <v/>
          </cell>
          <cell r="AU84">
            <v>0</v>
          </cell>
          <cell r="AV84" t="e">
            <v>#N/A</v>
          </cell>
          <cell r="AW84" t="e">
            <v>#N/A</v>
          </cell>
          <cell r="AX84" t="e">
            <v>#N/A</v>
          </cell>
          <cell r="AY84" t="str">
            <v/>
          </cell>
          <cell r="AZ84">
            <v>0</v>
          </cell>
          <cell r="BA84" t="str">
            <v/>
          </cell>
          <cell r="BB84">
            <v>0</v>
          </cell>
          <cell r="BC84" t="str">
            <v/>
          </cell>
        </row>
        <row r="85">
          <cell r="AZ85">
            <v>0</v>
          </cell>
          <cell r="BB85">
            <v>0</v>
          </cell>
        </row>
        <row r="86">
          <cell r="AZ86">
            <v>0</v>
          </cell>
          <cell r="BB86">
            <v>0</v>
          </cell>
        </row>
        <row r="87">
          <cell r="AZ87">
            <v>0</v>
          </cell>
          <cell r="BB87">
            <v>0</v>
          </cell>
        </row>
        <row r="88">
          <cell r="AZ88">
            <v>0</v>
          </cell>
          <cell r="BB88">
            <v>0</v>
          </cell>
        </row>
        <row r="89">
          <cell r="AZ89">
            <v>0</v>
          </cell>
          <cell r="BB89">
            <v>0</v>
          </cell>
        </row>
        <row r="90">
          <cell r="AZ90">
            <v>0</v>
          </cell>
          <cell r="BB90">
            <v>0</v>
          </cell>
        </row>
        <row r="91">
          <cell r="AZ91">
            <v>0</v>
          </cell>
          <cell r="BB91">
            <v>0</v>
          </cell>
        </row>
        <row r="94">
          <cell r="AZ94">
            <v>0</v>
          </cell>
          <cell r="BB94">
            <v>0</v>
          </cell>
        </row>
        <row r="95">
          <cell r="AZ95">
            <v>0</v>
          </cell>
          <cell r="BB95">
            <v>0</v>
          </cell>
        </row>
        <row r="96">
          <cell r="AZ96">
            <v>0</v>
          </cell>
          <cell r="BB96">
            <v>0</v>
          </cell>
        </row>
        <row r="97">
          <cell r="AZ97">
            <v>0</v>
          </cell>
          <cell r="BB97">
            <v>0</v>
          </cell>
        </row>
        <row r="98">
          <cell r="AF98" t="str">
            <v>Combustível</v>
          </cell>
          <cell r="AG98" t="str">
            <v>Combustível</v>
          </cell>
          <cell r="AH98" t="str">
            <v>Consumo Fósseis</v>
          </cell>
          <cell r="AI98">
            <v>0</v>
          </cell>
          <cell r="AJ98" t="str">
            <v>EFs Combustíveis Fosseis [Kg/L]</v>
          </cell>
          <cell r="AK98">
            <v>0</v>
          </cell>
          <cell r="AL98">
            <v>0</v>
          </cell>
          <cell r="AM98" t="str">
            <v>Emissões</v>
          </cell>
          <cell r="AN98">
            <v>0</v>
          </cell>
          <cell r="AO98">
            <v>0</v>
          </cell>
          <cell r="AP98">
            <v>0</v>
          </cell>
          <cell r="AQ98">
            <v>0</v>
          </cell>
          <cell r="AR98">
            <v>0</v>
          </cell>
          <cell r="AS98" t="str">
            <v>Combustível</v>
          </cell>
          <cell r="AT98" t="str">
            <v>Consumo não fossil</v>
          </cell>
          <cell r="AU98">
            <v>0</v>
          </cell>
          <cell r="AV98" t="str">
            <v>EFs Combustíveis não fosséis</v>
          </cell>
          <cell r="AW98">
            <v>0</v>
          </cell>
          <cell r="AX98">
            <v>0</v>
          </cell>
          <cell r="AY98" t="str">
            <v>Emissões</v>
          </cell>
          <cell r="AZ98">
            <v>0</v>
          </cell>
          <cell r="BA98">
            <v>0</v>
          </cell>
          <cell r="BB98">
            <v>0</v>
          </cell>
          <cell r="BC98">
            <v>0</v>
          </cell>
        </row>
        <row r="99">
          <cell r="AF99" t="str">
            <v>relatado</v>
          </cell>
          <cell r="AG99" t="str">
            <v>fóssil</v>
          </cell>
          <cell r="AH99">
            <v>0</v>
          </cell>
          <cell r="AI99">
            <v>0</v>
          </cell>
          <cell r="AJ99" t="str">
            <v>CO2</v>
          </cell>
          <cell r="AK99" t="str">
            <v>CH4</v>
          </cell>
          <cell r="AL99" t="str">
            <v>N2O</v>
          </cell>
          <cell r="AM99" t="str">
            <v>CO2</v>
          </cell>
          <cell r="AN99">
            <v>0</v>
          </cell>
          <cell r="AO99" t="str">
            <v>CH4</v>
          </cell>
          <cell r="AP99">
            <v>0</v>
          </cell>
          <cell r="AQ99" t="str">
            <v>N2O</v>
          </cell>
          <cell r="AR99">
            <v>0</v>
          </cell>
          <cell r="AS99" t="str">
            <v>não fóssil</v>
          </cell>
          <cell r="AT99">
            <v>0</v>
          </cell>
          <cell r="AU99">
            <v>0</v>
          </cell>
          <cell r="AV99" t="str">
            <v>CO2</v>
          </cell>
          <cell r="AW99" t="str">
            <v>CH4</v>
          </cell>
          <cell r="AX99" t="str">
            <v>N2O</v>
          </cell>
          <cell r="AY99" t="str">
            <v>CO2</v>
          </cell>
          <cell r="AZ99">
            <v>0</v>
          </cell>
          <cell r="BA99" t="str">
            <v>CH4</v>
          </cell>
          <cell r="BB99">
            <v>0</v>
          </cell>
          <cell r="BC99" t="str">
            <v>N2O</v>
          </cell>
        </row>
        <row r="100">
          <cell r="AF100" t="str">
            <v/>
          </cell>
          <cell r="AG100" t="str">
            <v/>
          </cell>
          <cell r="AH100">
            <v>0</v>
          </cell>
          <cell r="AI100">
            <v>0</v>
          </cell>
          <cell r="AJ100" t="e">
            <v>#N/A</v>
          </cell>
          <cell r="AK100" t="e">
            <v>#N/A</v>
          </cell>
          <cell r="AL100" t="e">
            <v>#N/A</v>
          </cell>
          <cell r="AM100" t="str">
            <v/>
          </cell>
          <cell r="AN100">
            <v>0</v>
          </cell>
          <cell r="AO100" t="str">
            <v/>
          </cell>
          <cell r="AP100">
            <v>0</v>
          </cell>
          <cell r="AQ100" t="str">
            <v/>
          </cell>
          <cell r="AR100">
            <v>0</v>
          </cell>
          <cell r="AS100" t="str">
            <v/>
          </cell>
          <cell r="AT100" t="str">
            <v/>
          </cell>
          <cell r="AU100">
            <v>0</v>
          </cell>
          <cell r="AV100" t="str">
            <v/>
          </cell>
          <cell r="AW100" t="e">
            <v>#N/A</v>
          </cell>
          <cell r="AX100" t="e">
            <v>#N/A</v>
          </cell>
          <cell r="AY100" t="str">
            <v/>
          </cell>
          <cell r="AZ100">
            <v>0</v>
          </cell>
          <cell r="BA100" t="str">
            <v/>
          </cell>
          <cell r="BB100">
            <v>0</v>
          </cell>
          <cell r="BC100" t="str">
            <v/>
          </cell>
        </row>
        <row r="101">
          <cell r="AF101" t="str">
            <v/>
          </cell>
          <cell r="AG101" t="str">
            <v/>
          </cell>
          <cell r="AH101">
            <v>0</v>
          </cell>
          <cell r="AI101">
            <v>0</v>
          </cell>
          <cell r="AJ101" t="e">
            <v>#N/A</v>
          </cell>
          <cell r="AK101" t="e">
            <v>#N/A</v>
          </cell>
          <cell r="AL101" t="e">
            <v>#N/A</v>
          </cell>
          <cell r="AM101" t="str">
            <v/>
          </cell>
          <cell r="AN101">
            <v>0</v>
          </cell>
          <cell r="AO101" t="str">
            <v/>
          </cell>
          <cell r="AP101">
            <v>0</v>
          </cell>
          <cell r="AQ101" t="str">
            <v/>
          </cell>
          <cell r="AR101">
            <v>0</v>
          </cell>
          <cell r="AS101" t="str">
            <v/>
          </cell>
          <cell r="AT101" t="str">
            <v/>
          </cell>
          <cell r="AU101">
            <v>0</v>
          </cell>
          <cell r="AV101" t="str">
            <v/>
          </cell>
          <cell r="AW101" t="e">
            <v>#N/A</v>
          </cell>
          <cell r="AX101" t="e">
            <v>#N/A</v>
          </cell>
          <cell r="AY101" t="str">
            <v/>
          </cell>
          <cell r="AZ101">
            <v>0</v>
          </cell>
          <cell r="BA101" t="str">
            <v/>
          </cell>
          <cell r="BB101">
            <v>0</v>
          </cell>
          <cell r="BC101" t="str">
            <v/>
          </cell>
        </row>
        <row r="102">
          <cell r="AF102" t="str">
            <v/>
          </cell>
          <cell r="AG102" t="str">
            <v/>
          </cell>
          <cell r="AH102">
            <v>0</v>
          </cell>
          <cell r="AI102">
            <v>0</v>
          </cell>
          <cell r="AJ102" t="e">
            <v>#N/A</v>
          </cell>
          <cell r="AK102" t="e">
            <v>#N/A</v>
          </cell>
          <cell r="AL102" t="e">
            <v>#N/A</v>
          </cell>
          <cell r="AM102" t="str">
            <v/>
          </cell>
          <cell r="AN102">
            <v>0</v>
          </cell>
          <cell r="AO102" t="str">
            <v/>
          </cell>
          <cell r="AP102">
            <v>0</v>
          </cell>
          <cell r="AQ102" t="str">
            <v/>
          </cell>
          <cell r="AR102">
            <v>0</v>
          </cell>
          <cell r="AS102" t="str">
            <v/>
          </cell>
          <cell r="AT102" t="str">
            <v/>
          </cell>
          <cell r="AU102">
            <v>0</v>
          </cell>
          <cell r="AV102" t="str">
            <v/>
          </cell>
          <cell r="AW102" t="e">
            <v>#N/A</v>
          </cell>
          <cell r="AX102" t="e">
            <v>#N/A</v>
          </cell>
          <cell r="AY102" t="str">
            <v/>
          </cell>
          <cell r="AZ102">
            <v>0</v>
          </cell>
          <cell r="BA102" t="str">
            <v/>
          </cell>
          <cell r="BB102">
            <v>0</v>
          </cell>
          <cell r="BC102" t="str">
            <v/>
          </cell>
        </row>
        <row r="103">
          <cell r="AF103" t="str">
            <v/>
          </cell>
          <cell r="AG103" t="str">
            <v/>
          </cell>
          <cell r="AH103">
            <v>0</v>
          </cell>
          <cell r="AI103">
            <v>0</v>
          </cell>
          <cell r="AJ103" t="e">
            <v>#N/A</v>
          </cell>
          <cell r="AK103" t="e">
            <v>#N/A</v>
          </cell>
          <cell r="AL103" t="e">
            <v>#N/A</v>
          </cell>
          <cell r="AM103" t="str">
            <v/>
          </cell>
          <cell r="AN103">
            <v>0</v>
          </cell>
          <cell r="AO103" t="str">
            <v/>
          </cell>
          <cell r="AP103">
            <v>0</v>
          </cell>
          <cell r="AQ103" t="str">
            <v/>
          </cell>
          <cell r="AR103">
            <v>0</v>
          </cell>
          <cell r="AS103" t="str">
            <v/>
          </cell>
          <cell r="AT103" t="str">
            <v/>
          </cell>
          <cell r="AU103">
            <v>0</v>
          </cell>
          <cell r="AV103" t="str">
            <v/>
          </cell>
          <cell r="AW103" t="e">
            <v>#N/A</v>
          </cell>
          <cell r="AX103" t="e">
            <v>#N/A</v>
          </cell>
          <cell r="AY103" t="str">
            <v/>
          </cell>
          <cell r="AZ103">
            <v>0</v>
          </cell>
          <cell r="BA103" t="str">
            <v/>
          </cell>
          <cell r="BB103">
            <v>0</v>
          </cell>
          <cell r="BC103" t="str">
            <v/>
          </cell>
        </row>
        <row r="104">
          <cell r="AF104" t="str">
            <v/>
          </cell>
          <cell r="AG104" t="str">
            <v/>
          </cell>
          <cell r="AH104">
            <v>0</v>
          </cell>
          <cell r="AI104">
            <v>0</v>
          </cell>
          <cell r="AJ104" t="e">
            <v>#N/A</v>
          </cell>
          <cell r="AK104" t="e">
            <v>#N/A</v>
          </cell>
          <cell r="AL104" t="e">
            <v>#N/A</v>
          </cell>
          <cell r="AM104" t="str">
            <v/>
          </cell>
          <cell r="AN104">
            <v>0</v>
          </cell>
          <cell r="AO104" t="str">
            <v/>
          </cell>
          <cell r="AP104">
            <v>0</v>
          </cell>
          <cell r="AQ104" t="str">
            <v/>
          </cell>
          <cell r="AR104">
            <v>0</v>
          </cell>
          <cell r="AS104" t="str">
            <v/>
          </cell>
          <cell r="AT104" t="str">
            <v/>
          </cell>
          <cell r="AU104">
            <v>0</v>
          </cell>
          <cell r="AV104" t="str">
            <v/>
          </cell>
          <cell r="AW104" t="e">
            <v>#N/A</v>
          </cell>
          <cell r="AX104" t="e">
            <v>#N/A</v>
          </cell>
          <cell r="AY104" t="str">
            <v/>
          </cell>
          <cell r="AZ104">
            <v>0</v>
          </cell>
          <cell r="BA104" t="str">
            <v/>
          </cell>
          <cell r="BB104">
            <v>0</v>
          </cell>
          <cell r="BC104" t="str">
            <v/>
          </cell>
        </row>
        <row r="105">
          <cell r="AF105" t="str">
            <v/>
          </cell>
          <cell r="AG105" t="str">
            <v/>
          </cell>
          <cell r="AH105">
            <v>0</v>
          </cell>
          <cell r="AI105">
            <v>0</v>
          </cell>
          <cell r="AJ105" t="e">
            <v>#N/A</v>
          </cell>
          <cell r="AK105" t="e">
            <v>#N/A</v>
          </cell>
          <cell r="AL105" t="e">
            <v>#N/A</v>
          </cell>
          <cell r="AM105" t="str">
            <v/>
          </cell>
          <cell r="AN105">
            <v>0</v>
          </cell>
          <cell r="AO105" t="str">
            <v/>
          </cell>
          <cell r="AP105">
            <v>0</v>
          </cell>
          <cell r="AQ105" t="str">
            <v/>
          </cell>
          <cell r="AR105">
            <v>0</v>
          </cell>
          <cell r="AS105" t="str">
            <v/>
          </cell>
          <cell r="AT105" t="str">
            <v/>
          </cell>
          <cell r="AU105">
            <v>0</v>
          </cell>
          <cell r="AV105" t="str">
            <v/>
          </cell>
          <cell r="AW105" t="e">
            <v>#N/A</v>
          </cell>
          <cell r="AX105" t="e">
            <v>#N/A</v>
          </cell>
          <cell r="AY105" t="str">
            <v/>
          </cell>
          <cell r="AZ105">
            <v>0</v>
          </cell>
          <cell r="BA105" t="str">
            <v/>
          </cell>
          <cell r="BB105">
            <v>0</v>
          </cell>
          <cell r="BC105" t="str">
            <v/>
          </cell>
        </row>
        <row r="106">
          <cell r="AF106" t="str">
            <v/>
          </cell>
          <cell r="AG106" t="str">
            <v/>
          </cell>
          <cell r="AH106">
            <v>0</v>
          </cell>
          <cell r="AI106">
            <v>0</v>
          </cell>
          <cell r="AJ106" t="e">
            <v>#N/A</v>
          </cell>
          <cell r="AK106" t="e">
            <v>#N/A</v>
          </cell>
          <cell r="AL106" t="e">
            <v>#N/A</v>
          </cell>
          <cell r="AM106" t="str">
            <v/>
          </cell>
          <cell r="AN106">
            <v>0</v>
          </cell>
          <cell r="AO106" t="str">
            <v/>
          </cell>
          <cell r="AP106">
            <v>0</v>
          </cell>
          <cell r="AQ106" t="str">
            <v/>
          </cell>
          <cell r="AR106">
            <v>0</v>
          </cell>
          <cell r="AS106" t="str">
            <v/>
          </cell>
          <cell r="AT106" t="str">
            <v/>
          </cell>
          <cell r="AU106">
            <v>0</v>
          </cell>
          <cell r="AV106" t="str">
            <v/>
          </cell>
          <cell r="AW106" t="e">
            <v>#N/A</v>
          </cell>
          <cell r="AX106" t="e">
            <v>#N/A</v>
          </cell>
          <cell r="AY106" t="str">
            <v/>
          </cell>
          <cell r="AZ106">
            <v>0</v>
          </cell>
          <cell r="BA106" t="str">
            <v/>
          </cell>
          <cell r="BB106">
            <v>0</v>
          </cell>
          <cell r="BC106" t="str">
            <v/>
          </cell>
        </row>
        <row r="107">
          <cell r="AF107" t="str">
            <v/>
          </cell>
          <cell r="AG107" t="str">
            <v/>
          </cell>
          <cell r="AH107">
            <v>0</v>
          </cell>
          <cell r="AI107">
            <v>0</v>
          </cell>
          <cell r="AJ107" t="e">
            <v>#N/A</v>
          </cell>
          <cell r="AK107" t="e">
            <v>#N/A</v>
          </cell>
          <cell r="AL107" t="e">
            <v>#N/A</v>
          </cell>
          <cell r="AM107" t="str">
            <v/>
          </cell>
          <cell r="AN107">
            <v>0</v>
          </cell>
          <cell r="AO107" t="str">
            <v/>
          </cell>
          <cell r="AP107">
            <v>0</v>
          </cell>
          <cell r="AQ107" t="str">
            <v/>
          </cell>
          <cell r="AR107">
            <v>0</v>
          </cell>
          <cell r="AS107" t="str">
            <v/>
          </cell>
          <cell r="AT107" t="str">
            <v/>
          </cell>
          <cell r="AU107">
            <v>0</v>
          </cell>
          <cell r="AV107" t="str">
            <v/>
          </cell>
          <cell r="AW107" t="e">
            <v>#N/A</v>
          </cell>
          <cell r="AX107" t="e">
            <v>#N/A</v>
          </cell>
          <cell r="AY107" t="str">
            <v/>
          </cell>
          <cell r="AZ107">
            <v>0</v>
          </cell>
          <cell r="BA107" t="str">
            <v/>
          </cell>
          <cell r="BB107">
            <v>0</v>
          </cell>
          <cell r="BC107" t="str">
            <v/>
          </cell>
        </row>
        <row r="108">
          <cell r="AF108" t="str">
            <v/>
          </cell>
          <cell r="AG108" t="str">
            <v/>
          </cell>
          <cell r="AH108">
            <v>0</v>
          </cell>
          <cell r="AI108">
            <v>0</v>
          </cell>
          <cell r="AJ108" t="e">
            <v>#N/A</v>
          </cell>
          <cell r="AK108" t="e">
            <v>#N/A</v>
          </cell>
          <cell r="AL108" t="e">
            <v>#N/A</v>
          </cell>
          <cell r="AM108" t="str">
            <v/>
          </cell>
          <cell r="AN108">
            <v>0</v>
          </cell>
          <cell r="AO108" t="str">
            <v/>
          </cell>
          <cell r="AP108">
            <v>0</v>
          </cell>
          <cell r="AQ108" t="str">
            <v/>
          </cell>
          <cell r="AR108">
            <v>0</v>
          </cell>
          <cell r="AS108" t="str">
            <v/>
          </cell>
          <cell r="AT108" t="str">
            <v/>
          </cell>
          <cell r="AU108">
            <v>0</v>
          </cell>
          <cell r="AV108" t="str">
            <v/>
          </cell>
          <cell r="AW108" t="e">
            <v>#N/A</v>
          </cell>
          <cell r="AX108" t="e">
            <v>#N/A</v>
          </cell>
          <cell r="AY108" t="str">
            <v/>
          </cell>
          <cell r="AZ108">
            <v>0</v>
          </cell>
          <cell r="BA108" t="str">
            <v/>
          </cell>
          <cell r="BB108">
            <v>0</v>
          </cell>
          <cell r="BC108" t="str">
            <v/>
          </cell>
        </row>
        <row r="109">
          <cell r="AF109" t="str">
            <v/>
          </cell>
          <cell r="AG109" t="str">
            <v/>
          </cell>
          <cell r="AH109">
            <v>0</v>
          </cell>
          <cell r="AI109">
            <v>0</v>
          </cell>
          <cell r="AJ109" t="e">
            <v>#N/A</v>
          </cell>
          <cell r="AK109" t="e">
            <v>#N/A</v>
          </cell>
          <cell r="AL109" t="e">
            <v>#N/A</v>
          </cell>
          <cell r="AM109" t="str">
            <v/>
          </cell>
          <cell r="AN109">
            <v>0</v>
          </cell>
          <cell r="AO109" t="str">
            <v/>
          </cell>
          <cell r="AP109">
            <v>0</v>
          </cell>
          <cell r="AQ109" t="str">
            <v/>
          </cell>
          <cell r="AR109">
            <v>0</v>
          </cell>
          <cell r="AS109" t="str">
            <v/>
          </cell>
          <cell r="AT109" t="str">
            <v/>
          </cell>
          <cell r="AU109">
            <v>0</v>
          </cell>
          <cell r="AV109" t="str">
            <v/>
          </cell>
          <cell r="AW109" t="e">
            <v>#N/A</v>
          </cell>
          <cell r="AX109" t="e">
            <v>#N/A</v>
          </cell>
          <cell r="AY109" t="str">
            <v/>
          </cell>
          <cell r="AZ109">
            <v>0</v>
          </cell>
          <cell r="BA109" t="str">
            <v/>
          </cell>
          <cell r="BB109">
            <v>0</v>
          </cell>
          <cell r="BC109" t="str">
            <v/>
          </cell>
        </row>
        <row r="110">
          <cell r="AF110" t="str">
            <v/>
          </cell>
          <cell r="AG110" t="str">
            <v/>
          </cell>
          <cell r="AH110">
            <v>0</v>
          </cell>
          <cell r="AI110">
            <v>0</v>
          </cell>
          <cell r="AJ110" t="e">
            <v>#N/A</v>
          </cell>
          <cell r="AK110" t="e">
            <v>#N/A</v>
          </cell>
          <cell r="AL110" t="e">
            <v>#N/A</v>
          </cell>
          <cell r="AM110" t="str">
            <v/>
          </cell>
          <cell r="AN110">
            <v>0</v>
          </cell>
          <cell r="AO110" t="str">
            <v/>
          </cell>
          <cell r="AP110">
            <v>0</v>
          </cell>
          <cell r="AQ110" t="str">
            <v/>
          </cell>
          <cell r="AR110">
            <v>0</v>
          </cell>
          <cell r="AS110" t="str">
            <v/>
          </cell>
          <cell r="AT110" t="str">
            <v/>
          </cell>
          <cell r="AU110">
            <v>0</v>
          </cell>
          <cell r="AV110" t="str">
            <v/>
          </cell>
          <cell r="AW110" t="e">
            <v>#N/A</v>
          </cell>
          <cell r="AX110" t="e">
            <v>#N/A</v>
          </cell>
          <cell r="AY110" t="str">
            <v/>
          </cell>
          <cell r="AZ110">
            <v>0</v>
          </cell>
          <cell r="BA110" t="str">
            <v/>
          </cell>
          <cell r="BB110">
            <v>0</v>
          </cell>
          <cell r="BC110" t="str">
            <v/>
          </cell>
        </row>
        <row r="111">
          <cell r="AF111" t="str">
            <v/>
          </cell>
          <cell r="AG111" t="str">
            <v/>
          </cell>
          <cell r="AH111">
            <v>0</v>
          </cell>
          <cell r="AI111">
            <v>0</v>
          </cell>
          <cell r="AJ111" t="e">
            <v>#N/A</v>
          </cell>
          <cell r="AK111" t="e">
            <v>#N/A</v>
          </cell>
          <cell r="AL111" t="e">
            <v>#N/A</v>
          </cell>
          <cell r="AM111" t="str">
            <v/>
          </cell>
          <cell r="AN111">
            <v>0</v>
          </cell>
          <cell r="AO111" t="str">
            <v/>
          </cell>
          <cell r="AP111">
            <v>0</v>
          </cell>
          <cell r="AQ111" t="str">
            <v/>
          </cell>
          <cell r="AR111">
            <v>0</v>
          </cell>
          <cell r="AS111" t="str">
            <v/>
          </cell>
          <cell r="AT111" t="str">
            <v/>
          </cell>
          <cell r="AU111">
            <v>0</v>
          </cell>
          <cell r="AV111" t="str">
            <v/>
          </cell>
          <cell r="AW111" t="e">
            <v>#N/A</v>
          </cell>
          <cell r="AX111" t="e">
            <v>#N/A</v>
          </cell>
          <cell r="AY111" t="str">
            <v/>
          </cell>
          <cell r="AZ111">
            <v>0</v>
          </cell>
          <cell r="BA111" t="str">
            <v/>
          </cell>
          <cell r="BB111">
            <v>0</v>
          </cell>
          <cell r="BC111" t="str">
            <v/>
          </cell>
        </row>
        <row r="112">
          <cell r="AF112" t="str">
            <v/>
          </cell>
          <cell r="AG112" t="str">
            <v/>
          </cell>
          <cell r="AH112">
            <v>0</v>
          </cell>
          <cell r="AI112">
            <v>0</v>
          </cell>
          <cell r="AJ112" t="e">
            <v>#N/A</v>
          </cell>
          <cell r="AK112" t="e">
            <v>#N/A</v>
          </cell>
          <cell r="AL112" t="e">
            <v>#N/A</v>
          </cell>
          <cell r="AM112" t="str">
            <v/>
          </cell>
          <cell r="AN112">
            <v>0</v>
          </cell>
          <cell r="AO112" t="str">
            <v/>
          </cell>
          <cell r="AP112">
            <v>0</v>
          </cell>
          <cell r="AQ112" t="str">
            <v/>
          </cell>
          <cell r="AR112">
            <v>0</v>
          </cell>
          <cell r="AS112" t="str">
            <v/>
          </cell>
          <cell r="AT112" t="str">
            <v/>
          </cell>
          <cell r="AU112">
            <v>0</v>
          </cell>
          <cell r="AV112" t="str">
            <v/>
          </cell>
          <cell r="AW112" t="e">
            <v>#N/A</v>
          </cell>
          <cell r="AX112" t="e">
            <v>#N/A</v>
          </cell>
          <cell r="AY112" t="str">
            <v/>
          </cell>
          <cell r="AZ112">
            <v>0</v>
          </cell>
          <cell r="BA112" t="str">
            <v/>
          </cell>
          <cell r="BB112">
            <v>0</v>
          </cell>
          <cell r="BC112" t="str">
            <v/>
          </cell>
        </row>
        <row r="113">
          <cell r="AF113" t="str">
            <v/>
          </cell>
          <cell r="AG113" t="str">
            <v/>
          </cell>
          <cell r="AH113">
            <v>0</v>
          </cell>
          <cell r="AI113">
            <v>0</v>
          </cell>
          <cell r="AJ113" t="e">
            <v>#N/A</v>
          </cell>
          <cell r="AK113" t="e">
            <v>#N/A</v>
          </cell>
          <cell r="AL113" t="e">
            <v>#N/A</v>
          </cell>
          <cell r="AM113" t="str">
            <v/>
          </cell>
          <cell r="AN113">
            <v>0</v>
          </cell>
          <cell r="AO113" t="str">
            <v/>
          </cell>
          <cell r="AP113">
            <v>0</v>
          </cell>
          <cell r="AQ113" t="str">
            <v/>
          </cell>
          <cell r="AR113">
            <v>0</v>
          </cell>
          <cell r="AS113" t="str">
            <v/>
          </cell>
          <cell r="AT113" t="str">
            <v/>
          </cell>
          <cell r="AU113">
            <v>0</v>
          </cell>
          <cell r="AV113" t="str">
            <v/>
          </cell>
          <cell r="AW113" t="e">
            <v>#N/A</v>
          </cell>
          <cell r="AX113" t="e">
            <v>#N/A</v>
          </cell>
          <cell r="AY113" t="str">
            <v/>
          </cell>
          <cell r="AZ113">
            <v>0</v>
          </cell>
          <cell r="BA113" t="str">
            <v/>
          </cell>
          <cell r="BB113">
            <v>0</v>
          </cell>
          <cell r="BC113" t="str">
            <v/>
          </cell>
        </row>
        <row r="114">
          <cell r="AF114" t="str">
            <v/>
          </cell>
          <cell r="AG114" t="str">
            <v/>
          </cell>
          <cell r="AH114">
            <v>0</v>
          </cell>
          <cell r="AI114">
            <v>0</v>
          </cell>
          <cell r="AJ114" t="e">
            <v>#N/A</v>
          </cell>
          <cell r="AK114" t="e">
            <v>#N/A</v>
          </cell>
          <cell r="AL114" t="e">
            <v>#N/A</v>
          </cell>
          <cell r="AM114" t="str">
            <v/>
          </cell>
          <cell r="AN114">
            <v>0</v>
          </cell>
          <cell r="AO114" t="str">
            <v/>
          </cell>
          <cell r="AP114">
            <v>0</v>
          </cell>
          <cell r="AQ114" t="str">
            <v/>
          </cell>
          <cell r="AR114">
            <v>0</v>
          </cell>
          <cell r="AS114" t="str">
            <v/>
          </cell>
          <cell r="AT114" t="str">
            <v/>
          </cell>
          <cell r="AU114">
            <v>0</v>
          </cell>
          <cell r="AV114" t="str">
            <v/>
          </cell>
          <cell r="AW114" t="e">
            <v>#N/A</v>
          </cell>
          <cell r="AX114" t="e">
            <v>#N/A</v>
          </cell>
          <cell r="AY114" t="str">
            <v/>
          </cell>
          <cell r="AZ114">
            <v>0</v>
          </cell>
          <cell r="BA114" t="str">
            <v/>
          </cell>
          <cell r="BB114">
            <v>0</v>
          </cell>
          <cell r="BC114" t="str">
            <v/>
          </cell>
        </row>
        <row r="115">
          <cell r="AF115" t="str">
            <v/>
          </cell>
          <cell r="AG115" t="str">
            <v/>
          </cell>
          <cell r="AH115">
            <v>0</v>
          </cell>
          <cell r="AI115">
            <v>0</v>
          </cell>
          <cell r="AJ115" t="e">
            <v>#N/A</v>
          </cell>
          <cell r="AK115" t="e">
            <v>#N/A</v>
          </cell>
          <cell r="AL115" t="e">
            <v>#N/A</v>
          </cell>
          <cell r="AM115" t="str">
            <v/>
          </cell>
          <cell r="AN115">
            <v>0</v>
          </cell>
          <cell r="AO115" t="str">
            <v/>
          </cell>
          <cell r="AP115">
            <v>0</v>
          </cell>
          <cell r="AQ115" t="str">
            <v/>
          </cell>
          <cell r="AR115">
            <v>0</v>
          </cell>
          <cell r="AS115" t="str">
            <v/>
          </cell>
          <cell r="AT115" t="str">
            <v/>
          </cell>
          <cell r="AU115">
            <v>0</v>
          </cell>
          <cell r="AV115" t="str">
            <v/>
          </cell>
          <cell r="AW115" t="e">
            <v>#N/A</v>
          </cell>
          <cell r="AX115" t="e">
            <v>#N/A</v>
          </cell>
          <cell r="AY115" t="str">
            <v/>
          </cell>
          <cell r="AZ115">
            <v>0</v>
          </cell>
          <cell r="BA115" t="str">
            <v/>
          </cell>
          <cell r="BB115">
            <v>0</v>
          </cell>
          <cell r="BC115" t="str">
            <v/>
          </cell>
        </row>
        <row r="116">
          <cell r="AF116" t="str">
            <v/>
          </cell>
          <cell r="AG116" t="str">
            <v/>
          </cell>
          <cell r="AH116">
            <v>0</v>
          </cell>
          <cell r="AI116">
            <v>0</v>
          </cell>
          <cell r="AJ116" t="e">
            <v>#N/A</v>
          </cell>
          <cell r="AK116" t="e">
            <v>#N/A</v>
          </cell>
          <cell r="AL116" t="e">
            <v>#N/A</v>
          </cell>
          <cell r="AM116" t="str">
            <v/>
          </cell>
          <cell r="AN116">
            <v>0</v>
          </cell>
          <cell r="AO116" t="str">
            <v/>
          </cell>
          <cell r="AP116">
            <v>0</v>
          </cell>
          <cell r="AQ116" t="str">
            <v/>
          </cell>
          <cell r="AR116">
            <v>0</v>
          </cell>
          <cell r="AS116" t="str">
            <v/>
          </cell>
          <cell r="AT116" t="str">
            <v/>
          </cell>
          <cell r="AU116">
            <v>0</v>
          </cell>
          <cell r="AV116" t="str">
            <v/>
          </cell>
          <cell r="AW116" t="e">
            <v>#N/A</v>
          </cell>
          <cell r="AX116" t="e">
            <v>#N/A</v>
          </cell>
          <cell r="AY116" t="str">
            <v/>
          </cell>
          <cell r="AZ116">
            <v>0</v>
          </cell>
          <cell r="BA116" t="str">
            <v/>
          </cell>
          <cell r="BB116">
            <v>0</v>
          </cell>
          <cell r="BC116" t="str">
            <v/>
          </cell>
        </row>
        <row r="117">
          <cell r="AF117" t="str">
            <v/>
          </cell>
          <cell r="AG117" t="str">
            <v/>
          </cell>
          <cell r="AH117">
            <v>0</v>
          </cell>
          <cell r="AI117">
            <v>0</v>
          </cell>
          <cell r="AJ117" t="e">
            <v>#N/A</v>
          </cell>
          <cell r="AK117" t="e">
            <v>#N/A</v>
          </cell>
          <cell r="AL117" t="e">
            <v>#N/A</v>
          </cell>
          <cell r="AM117" t="str">
            <v/>
          </cell>
          <cell r="AN117">
            <v>0</v>
          </cell>
          <cell r="AO117" t="str">
            <v/>
          </cell>
          <cell r="AP117">
            <v>0</v>
          </cell>
          <cell r="AQ117" t="str">
            <v/>
          </cell>
          <cell r="AR117">
            <v>0</v>
          </cell>
          <cell r="AS117" t="str">
            <v/>
          </cell>
          <cell r="AT117" t="str">
            <v/>
          </cell>
          <cell r="AU117">
            <v>0</v>
          </cell>
          <cell r="AV117" t="str">
            <v/>
          </cell>
          <cell r="AW117" t="e">
            <v>#N/A</v>
          </cell>
          <cell r="AX117" t="e">
            <v>#N/A</v>
          </cell>
          <cell r="AY117" t="str">
            <v/>
          </cell>
          <cell r="AZ117">
            <v>0</v>
          </cell>
          <cell r="BA117" t="str">
            <v/>
          </cell>
          <cell r="BB117">
            <v>0</v>
          </cell>
          <cell r="BC117" t="str">
            <v/>
          </cell>
        </row>
        <row r="118">
          <cell r="AF118" t="str">
            <v/>
          </cell>
          <cell r="AG118" t="str">
            <v/>
          </cell>
          <cell r="AH118">
            <v>0</v>
          </cell>
          <cell r="AI118">
            <v>0</v>
          </cell>
          <cell r="AJ118" t="e">
            <v>#N/A</v>
          </cell>
          <cell r="AK118" t="e">
            <v>#N/A</v>
          </cell>
          <cell r="AL118" t="e">
            <v>#N/A</v>
          </cell>
          <cell r="AM118" t="str">
            <v/>
          </cell>
          <cell r="AN118">
            <v>0</v>
          </cell>
          <cell r="AO118" t="str">
            <v/>
          </cell>
          <cell r="AP118">
            <v>0</v>
          </cell>
          <cell r="AQ118" t="str">
            <v/>
          </cell>
          <cell r="AR118">
            <v>0</v>
          </cell>
          <cell r="AS118" t="str">
            <v/>
          </cell>
          <cell r="AT118" t="str">
            <v/>
          </cell>
          <cell r="AU118">
            <v>0</v>
          </cell>
          <cell r="AV118" t="str">
            <v/>
          </cell>
          <cell r="AW118" t="e">
            <v>#N/A</v>
          </cell>
          <cell r="AX118" t="e">
            <v>#N/A</v>
          </cell>
          <cell r="AY118" t="str">
            <v/>
          </cell>
          <cell r="AZ118">
            <v>0</v>
          </cell>
          <cell r="BA118" t="str">
            <v/>
          </cell>
          <cell r="BB118">
            <v>0</v>
          </cell>
          <cell r="BC118" t="str">
            <v/>
          </cell>
        </row>
        <row r="119">
          <cell r="AF119" t="str">
            <v/>
          </cell>
          <cell r="AG119" t="str">
            <v/>
          </cell>
          <cell r="AH119">
            <v>0</v>
          </cell>
          <cell r="AI119">
            <v>0</v>
          </cell>
          <cell r="AJ119" t="e">
            <v>#N/A</v>
          </cell>
          <cell r="AK119" t="e">
            <v>#N/A</v>
          </cell>
          <cell r="AL119" t="e">
            <v>#N/A</v>
          </cell>
          <cell r="AM119" t="str">
            <v/>
          </cell>
          <cell r="AN119">
            <v>0</v>
          </cell>
          <cell r="AO119" t="str">
            <v/>
          </cell>
          <cell r="AP119">
            <v>0</v>
          </cell>
          <cell r="AQ119" t="str">
            <v/>
          </cell>
          <cell r="AR119">
            <v>0</v>
          </cell>
          <cell r="AS119" t="str">
            <v/>
          </cell>
          <cell r="AT119" t="str">
            <v/>
          </cell>
          <cell r="AU119">
            <v>0</v>
          </cell>
          <cell r="AV119" t="str">
            <v/>
          </cell>
          <cell r="AW119" t="e">
            <v>#N/A</v>
          </cell>
          <cell r="AX119" t="e">
            <v>#N/A</v>
          </cell>
          <cell r="AY119" t="str">
            <v/>
          </cell>
          <cell r="AZ119">
            <v>0</v>
          </cell>
          <cell r="BA119" t="str">
            <v/>
          </cell>
          <cell r="BB119">
            <v>0</v>
          </cell>
          <cell r="BC119" t="str">
            <v/>
          </cell>
        </row>
        <row r="120">
          <cell r="AF120" t="str">
            <v/>
          </cell>
          <cell r="AG120" t="str">
            <v/>
          </cell>
          <cell r="AH120">
            <v>0</v>
          </cell>
          <cell r="AI120">
            <v>0</v>
          </cell>
          <cell r="AJ120" t="e">
            <v>#N/A</v>
          </cell>
          <cell r="AK120" t="e">
            <v>#N/A</v>
          </cell>
          <cell r="AL120" t="e">
            <v>#N/A</v>
          </cell>
          <cell r="AM120" t="str">
            <v/>
          </cell>
          <cell r="AN120">
            <v>0</v>
          </cell>
          <cell r="AO120" t="str">
            <v/>
          </cell>
          <cell r="AP120">
            <v>0</v>
          </cell>
          <cell r="AQ120" t="str">
            <v/>
          </cell>
          <cell r="AR120">
            <v>0</v>
          </cell>
          <cell r="AS120" t="str">
            <v/>
          </cell>
          <cell r="AT120" t="str">
            <v/>
          </cell>
          <cell r="AU120">
            <v>0</v>
          </cell>
          <cell r="AV120" t="str">
            <v/>
          </cell>
          <cell r="AW120" t="e">
            <v>#N/A</v>
          </cell>
          <cell r="AX120" t="e">
            <v>#N/A</v>
          </cell>
          <cell r="AY120" t="str">
            <v/>
          </cell>
          <cell r="AZ120">
            <v>0</v>
          </cell>
          <cell r="BA120" t="str">
            <v/>
          </cell>
          <cell r="BB120">
            <v>0</v>
          </cell>
          <cell r="BC120" t="str">
            <v/>
          </cell>
        </row>
        <row r="121">
          <cell r="AF121" t="str">
            <v/>
          </cell>
          <cell r="AG121" t="str">
            <v/>
          </cell>
          <cell r="AH121">
            <v>0</v>
          </cell>
          <cell r="AI121">
            <v>0</v>
          </cell>
          <cell r="AJ121" t="e">
            <v>#N/A</v>
          </cell>
          <cell r="AK121" t="e">
            <v>#N/A</v>
          </cell>
          <cell r="AL121" t="e">
            <v>#N/A</v>
          </cell>
          <cell r="AM121" t="str">
            <v/>
          </cell>
          <cell r="AN121">
            <v>0</v>
          </cell>
          <cell r="AO121" t="str">
            <v/>
          </cell>
          <cell r="AP121">
            <v>0</v>
          </cell>
          <cell r="AQ121" t="str">
            <v/>
          </cell>
          <cell r="AR121">
            <v>0</v>
          </cell>
          <cell r="AS121" t="str">
            <v/>
          </cell>
          <cell r="AT121" t="str">
            <v/>
          </cell>
          <cell r="AU121">
            <v>0</v>
          </cell>
          <cell r="AV121" t="str">
            <v/>
          </cell>
          <cell r="AW121" t="e">
            <v>#N/A</v>
          </cell>
          <cell r="AX121" t="e">
            <v>#N/A</v>
          </cell>
          <cell r="AY121" t="str">
            <v/>
          </cell>
          <cell r="AZ121">
            <v>0</v>
          </cell>
          <cell r="BA121" t="str">
            <v/>
          </cell>
          <cell r="BB121">
            <v>0</v>
          </cell>
          <cell r="BC121" t="str">
            <v/>
          </cell>
        </row>
        <row r="122">
          <cell r="AF122" t="str">
            <v/>
          </cell>
          <cell r="AG122" t="str">
            <v/>
          </cell>
          <cell r="AH122">
            <v>0</v>
          </cell>
          <cell r="AI122">
            <v>0</v>
          </cell>
          <cell r="AJ122" t="e">
            <v>#N/A</v>
          </cell>
          <cell r="AK122" t="e">
            <v>#N/A</v>
          </cell>
          <cell r="AL122" t="e">
            <v>#N/A</v>
          </cell>
          <cell r="AM122" t="str">
            <v/>
          </cell>
          <cell r="AN122">
            <v>0</v>
          </cell>
          <cell r="AO122" t="str">
            <v/>
          </cell>
          <cell r="AP122">
            <v>0</v>
          </cell>
          <cell r="AQ122" t="str">
            <v/>
          </cell>
          <cell r="AR122">
            <v>0</v>
          </cell>
          <cell r="AS122" t="str">
            <v/>
          </cell>
          <cell r="AT122" t="str">
            <v/>
          </cell>
          <cell r="AU122">
            <v>0</v>
          </cell>
          <cell r="AV122" t="str">
            <v/>
          </cell>
          <cell r="AW122" t="e">
            <v>#N/A</v>
          </cell>
          <cell r="AX122" t="e">
            <v>#N/A</v>
          </cell>
          <cell r="AY122" t="str">
            <v/>
          </cell>
          <cell r="AZ122">
            <v>0</v>
          </cell>
          <cell r="BA122" t="str">
            <v/>
          </cell>
          <cell r="BB122">
            <v>0</v>
          </cell>
          <cell r="BC122" t="str">
            <v/>
          </cell>
        </row>
        <row r="123">
          <cell r="AF123" t="str">
            <v/>
          </cell>
          <cell r="AG123" t="str">
            <v/>
          </cell>
          <cell r="AH123">
            <v>0</v>
          </cell>
          <cell r="AI123">
            <v>0</v>
          </cell>
          <cell r="AJ123" t="e">
            <v>#N/A</v>
          </cell>
          <cell r="AK123" t="e">
            <v>#N/A</v>
          </cell>
          <cell r="AL123" t="e">
            <v>#N/A</v>
          </cell>
          <cell r="AM123" t="str">
            <v/>
          </cell>
          <cell r="AN123">
            <v>0</v>
          </cell>
          <cell r="AO123" t="str">
            <v/>
          </cell>
          <cell r="AP123">
            <v>0</v>
          </cell>
          <cell r="AQ123" t="str">
            <v/>
          </cell>
          <cell r="AR123">
            <v>0</v>
          </cell>
          <cell r="AS123" t="str">
            <v/>
          </cell>
          <cell r="AT123" t="str">
            <v/>
          </cell>
          <cell r="AU123">
            <v>0</v>
          </cell>
          <cell r="AV123" t="str">
            <v/>
          </cell>
          <cell r="AW123" t="e">
            <v>#N/A</v>
          </cell>
          <cell r="AX123" t="e">
            <v>#N/A</v>
          </cell>
          <cell r="AY123" t="str">
            <v/>
          </cell>
          <cell r="AZ123">
            <v>0</v>
          </cell>
          <cell r="BA123" t="str">
            <v/>
          </cell>
          <cell r="BB123">
            <v>0</v>
          </cell>
          <cell r="BC123" t="str">
            <v/>
          </cell>
        </row>
        <row r="124">
          <cell r="AF124" t="str">
            <v/>
          </cell>
          <cell r="AG124" t="str">
            <v/>
          </cell>
          <cell r="AH124">
            <v>0</v>
          </cell>
          <cell r="AI124">
            <v>0</v>
          </cell>
          <cell r="AJ124" t="e">
            <v>#N/A</v>
          </cell>
          <cell r="AK124" t="e">
            <v>#N/A</v>
          </cell>
          <cell r="AL124" t="e">
            <v>#N/A</v>
          </cell>
          <cell r="AM124" t="str">
            <v/>
          </cell>
          <cell r="AN124">
            <v>0</v>
          </cell>
          <cell r="AO124" t="str">
            <v/>
          </cell>
          <cell r="AP124">
            <v>0</v>
          </cell>
          <cell r="AQ124" t="str">
            <v/>
          </cell>
          <cell r="AR124">
            <v>0</v>
          </cell>
          <cell r="AS124" t="str">
            <v/>
          </cell>
          <cell r="AT124" t="str">
            <v/>
          </cell>
          <cell r="AU124">
            <v>0</v>
          </cell>
          <cell r="AV124" t="str">
            <v/>
          </cell>
          <cell r="AW124" t="e">
            <v>#N/A</v>
          </cell>
          <cell r="AX124" t="e">
            <v>#N/A</v>
          </cell>
          <cell r="AY124" t="str">
            <v/>
          </cell>
          <cell r="AZ124">
            <v>0</v>
          </cell>
          <cell r="BA124" t="str">
            <v/>
          </cell>
          <cell r="BB124">
            <v>0</v>
          </cell>
          <cell r="BC124" t="str">
            <v/>
          </cell>
        </row>
        <row r="125">
          <cell r="AF125" t="str">
            <v/>
          </cell>
          <cell r="AG125" t="str">
            <v/>
          </cell>
          <cell r="AH125">
            <v>0</v>
          </cell>
          <cell r="AI125">
            <v>0</v>
          </cell>
          <cell r="AJ125" t="e">
            <v>#N/A</v>
          </cell>
          <cell r="AK125" t="e">
            <v>#N/A</v>
          </cell>
          <cell r="AL125" t="e">
            <v>#N/A</v>
          </cell>
          <cell r="AM125" t="str">
            <v/>
          </cell>
          <cell r="AN125">
            <v>0</v>
          </cell>
          <cell r="AO125" t="str">
            <v/>
          </cell>
          <cell r="AP125">
            <v>0</v>
          </cell>
          <cell r="AQ125" t="str">
            <v/>
          </cell>
          <cell r="AR125">
            <v>0</v>
          </cell>
          <cell r="AS125" t="str">
            <v/>
          </cell>
          <cell r="AT125" t="str">
            <v/>
          </cell>
          <cell r="AU125">
            <v>0</v>
          </cell>
          <cell r="AV125" t="str">
            <v/>
          </cell>
          <cell r="AW125" t="e">
            <v>#N/A</v>
          </cell>
          <cell r="AX125" t="e">
            <v>#N/A</v>
          </cell>
          <cell r="AY125" t="str">
            <v/>
          </cell>
          <cell r="AZ125">
            <v>0</v>
          </cell>
          <cell r="BA125" t="str">
            <v/>
          </cell>
          <cell r="BB125">
            <v>0</v>
          </cell>
          <cell r="BC125" t="str">
            <v/>
          </cell>
        </row>
        <row r="126">
          <cell r="AF126" t="str">
            <v/>
          </cell>
          <cell r="AG126" t="str">
            <v/>
          </cell>
          <cell r="AH126">
            <v>0</v>
          </cell>
          <cell r="AI126">
            <v>0</v>
          </cell>
          <cell r="AJ126" t="e">
            <v>#N/A</v>
          </cell>
          <cell r="AK126" t="e">
            <v>#N/A</v>
          </cell>
          <cell r="AL126" t="e">
            <v>#N/A</v>
          </cell>
          <cell r="AM126" t="str">
            <v/>
          </cell>
          <cell r="AN126">
            <v>0</v>
          </cell>
          <cell r="AO126" t="str">
            <v/>
          </cell>
          <cell r="AP126">
            <v>0</v>
          </cell>
          <cell r="AQ126" t="str">
            <v/>
          </cell>
          <cell r="AR126">
            <v>0</v>
          </cell>
          <cell r="AS126" t="str">
            <v/>
          </cell>
          <cell r="AT126" t="str">
            <v/>
          </cell>
          <cell r="AU126">
            <v>0</v>
          </cell>
          <cell r="AV126" t="str">
            <v/>
          </cell>
          <cell r="AW126" t="e">
            <v>#N/A</v>
          </cell>
          <cell r="AX126" t="e">
            <v>#N/A</v>
          </cell>
          <cell r="AY126" t="str">
            <v/>
          </cell>
          <cell r="AZ126">
            <v>0</v>
          </cell>
          <cell r="BA126" t="str">
            <v/>
          </cell>
          <cell r="BB126">
            <v>0</v>
          </cell>
          <cell r="BC126" t="str">
            <v/>
          </cell>
        </row>
        <row r="127">
          <cell r="AF127" t="str">
            <v/>
          </cell>
          <cell r="AG127" t="str">
            <v/>
          </cell>
          <cell r="AH127">
            <v>0</v>
          </cell>
          <cell r="AI127">
            <v>0</v>
          </cell>
          <cell r="AJ127" t="e">
            <v>#N/A</v>
          </cell>
          <cell r="AK127" t="e">
            <v>#N/A</v>
          </cell>
          <cell r="AL127" t="e">
            <v>#N/A</v>
          </cell>
          <cell r="AM127" t="str">
            <v/>
          </cell>
          <cell r="AN127">
            <v>0</v>
          </cell>
          <cell r="AO127" t="str">
            <v/>
          </cell>
          <cell r="AP127">
            <v>0</v>
          </cell>
          <cell r="AQ127" t="str">
            <v/>
          </cell>
          <cell r="AR127">
            <v>0</v>
          </cell>
          <cell r="AS127" t="str">
            <v/>
          </cell>
          <cell r="AT127" t="str">
            <v/>
          </cell>
          <cell r="AU127">
            <v>0</v>
          </cell>
          <cell r="AV127" t="str">
            <v/>
          </cell>
          <cell r="AW127" t="e">
            <v>#N/A</v>
          </cell>
          <cell r="AX127" t="e">
            <v>#N/A</v>
          </cell>
          <cell r="AY127" t="str">
            <v/>
          </cell>
          <cell r="AZ127">
            <v>0</v>
          </cell>
          <cell r="BA127" t="str">
            <v/>
          </cell>
          <cell r="BB127">
            <v>0</v>
          </cell>
          <cell r="BC127" t="str">
            <v/>
          </cell>
        </row>
        <row r="128">
          <cell r="AF128" t="str">
            <v/>
          </cell>
          <cell r="AG128" t="str">
            <v/>
          </cell>
          <cell r="AH128">
            <v>0</v>
          </cell>
          <cell r="AI128">
            <v>0</v>
          </cell>
          <cell r="AJ128" t="e">
            <v>#N/A</v>
          </cell>
          <cell r="AK128" t="e">
            <v>#N/A</v>
          </cell>
          <cell r="AL128" t="e">
            <v>#N/A</v>
          </cell>
          <cell r="AM128" t="str">
            <v/>
          </cell>
          <cell r="AN128">
            <v>0</v>
          </cell>
          <cell r="AO128" t="str">
            <v/>
          </cell>
          <cell r="AP128">
            <v>0</v>
          </cell>
          <cell r="AQ128" t="str">
            <v/>
          </cell>
          <cell r="AR128">
            <v>0</v>
          </cell>
          <cell r="AS128" t="str">
            <v/>
          </cell>
          <cell r="AT128" t="str">
            <v/>
          </cell>
          <cell r="AU128">
            <v>0</v>
          </cell>
          <cell r="AV128" t="str">
            <v/>
          </cell>
          <cell r="AW128" t="e">
            <v>#N/A</v>
          </cell>
          <cell r="AX128" t="e">
            <v>#N/A</v>
          </cell>
          <cell r="AY128" t="str">
            <v/>
          </cell>
          <cell r="AZ128">
            <v>0</v>
          </cell>
          <cell r="BA128" t="str">
            <v/>
          </cell>
          <cell r="BB128">
            <v>0</v>
          </cell>
          <cell r="BC128" t="str">
            <v/>
          </cell>
        </row>
        <row r="129">
          <cell r="AF129" t="str">
            <v/>
          </cell>
          <cell r="AG129" t="str">
            <v/>
          </cell>
          <cell r="AH129">
            <v>0</v>
          </cell>
          <cell r="AI129">
            <v>0</v>
          </cell>
          <cell r="AJ129" t="e">
            <v>#N/A</v>
          </cell>
          <cell r="AK129" t="e">
            <v>#N/A</v>
          </cell>
          <cell r="AL129" t="e">
            <v>#N/A</v>
          </cell>
          <cell r="AM129" t="str">
            <v/>
          </cell>
          <cell r="AN129">
            <v>0</v>
          </cell>
          <cell r="AO129" t="str">
            <v/>
          </cell>
          <cell r="AP129">
            <v>0</v>
          </cell>
          <cell r="AQ129" t="str">
            <v/>
          </cell>
          <cell r="AR129">
            <v>0</v>
          </cell>
          <cell r="AS129" t="str">
            <v/>
          </cell>
          <cell r="AT129" t="str">
            <v/>
          </cell>
          <cell r="AU129">
            <v>0</v>
          </cell>
          <cell r="AV129" t="str">
            <v/>
          </cell>
          <cell r="AW129" t="e">
            <v>#N/A</v>
          </cell>
          <cell r="AX129" t="e">
            <v>#N/A</v>
          </cell>
          <cell r="AY129" t="str">
            <v/>
          </cell>
          <cell r="AZ129">
            <v>0</v>
          </cell>
          <cell r="BA129" t="str">
            <v/>
          </cell>
          <cell r="BB129">
            <v>0</v>
          </cell>
          <cell r="BC129" t="str">
            <v/>
          </cell>
        </row>
        <row r="130">
          <cell r="AF130" t="str">
            <v/>
          </cell>
          <cell r="AG130" t="str">
            <v/>
          </cell>
          <cell r="AH130">
            <v>0</v>
          </cell>
          <cell r="AI130">
            <v>0</v>
          </cell>
          <cell r="AJ130" t="e">
            <v>#N/A</v>
          </cell>
          <cell r="AK130" t="e">
            <v>#N/A</v>
          </cell>
          <cell r="AL130" t="e">
            <v>#N/A</v>
          </cell>
          <cell r="AM130" t="str">
            <v/>
          </cell>
          <cell r="AN130">
            <v>0</v>
          </cell>
          <cell r="AO130" t="str">
            <v/>
          </cell>
          <cell r="AP130">
            <v>0</v>
          </cell>
          <cell r="AQ130" t="str">
            <v/>
          </cell>
          <cell r="AR130">
            <v>0</v>
          </cell>
          <cell r="AS130" t="str">
            <v/>
          </cell>
          <cell r="AT130" t="str">
            <v/>
          </cell>
          <cell r="AU130">
            <v>0</v>
          </cell>
          <cell r="AV130" t="str">
            <v/>
          </cell>
          <cell r="AW130" t="e">
            <v>#N/A</v>
          </cell>
          <cell r="AX130" t="e">
            <v>#N/A</v>
          </cell>
          <cell r="AY130" t="str">
            <v/>
          </cell>
          <cell r="AZ130">
            <v>0</v>
          </cell>
          <cell r="BA130" t="str">
            <v/>
          </cell>
          <cell r="BB130">
            <v>0</v>
          </cell>
          <cell r="BC130" t="str">
            <v/>
          </cell>
        </row>
        <row r="131">
          <cell r="AF131" t="str">
            <v/>
          </cell>
          <cell r="AG131" t="str">
            <v/>
          </cell>
          <cell r="AH131">
            <v>0</v>
          </cell>
          <cell r="AI131">
            <v>0</v>
          </cell>
          <cell r="AJ131" t="e">
            <v>#N/A</v>
          </cell>
          <cell r="AK131" t="e">
            <v>#N/A</v>
          </cell>
          <cell r="AL131" t="e">
            <v>#N/A</v>
          </cell>
          <cell r="AM131" t="str">
            <v/>
          </cell>
          <cell r="AN131">
            <v>0</v>
          </cell>
          <cell r="AO131" t="str">
            <v/>
          </cell>
          <cell r="AP131">
            <v>0</v>
          </cell>
          <cell r="AQ131" t="str">
            <v/>
          </cell>
          <cell r="AR131">
            <v>0</v>
          </cell>
          <cell r="AS131" t="str">
            <v/>
          </cell>
          <cell r="AT131" t="str">
            <v/>
          </cell>
          <cell r="AU131">
            <v>0</v>
          </cell>
          <cell r="AV131" t="str">
            <v/>
          </cell>
          <cell r="AW131" t="e">
            <v>#N/A</v>
          </cell>
          <cell r="AX131" t="e">
            <v>#N/A</v>
          </cell>
          <cell r="AY131" t="str">
            <v/>
          </cell>
          <cell r="AZ131">
            <v>0</v>
          </cell>
          <cell r="BA131" t="str">
            <v/>
          </cell>
          <cell r="BB131">
            <v>0</v>
          </cell>
          <cell r="BC131" t="str">
            <v/>
          </cell>
        </row>
        <row r="132">
          <cell r="AF132" t="str">
            <v/>
          </cell>
          <cell r="AG132" t="str">
            <v/>
          </cell>
          <cell r="AH132">
            <v>0</v>
          </cell>
          <cell r="AI132">
            <v>0</v>
          </cell>
          <cell r="AJ132" t="e">
            <v>#N/A</v>
          </cell>
          <cell r="AK132" t="e">
            <v>#N/A</v>
          </cell>
          <cell r="AL132" t="e">
            <v>#N/A</v>
          </cell>
          <cell r="AM132" t="str">
            <v/>
          </cell>
          <cell r="AN132">
            <v>0</v>
          </cell>
          <cell r="AO132" t="str">
            <v/>
          </cell>
          <cell r="AP132">
            <v>0</v>
          </cell>
          <cell r="AQ132" t="str">
            <v/>
          </cell>
          <cell r="AR132">
            <v>0</v>
          </cell>
          <cell r="AS132" t="str">
            <v/>
          </cell>
          <cell r="AT132" t="str">
            <v/>
          </cell>
          <cell r="AU132">
            <v>0</v>
          </cell>
          <cell r="AV132" t="str">
            <v/>
          </cell>
          <cell r="AW132" t="e">
            <v>#N/A</v>
          </cell>
          <cell r="AX132" t="e">
            <v>#N/A</v>
          </cell>
          <cell r="AY132" t="str">
            <v/>
          </cell>
          <cell r="AZ132">
            <v>0</v>
          </cell>
          <cell r="BA132" t="str">
            <v/>
          </cell>
          <cell r="BB132">
            <v>0</v>
          </cell>
          <cell r="BC132" t="str">
            <v/>
          </cell>
        </row>
        <row r="133">
          <cell r="AF133" t="str">
            <v/>
          </cell>
          <cell r="AG133" t="str">
            <v/>
          </cell>
          <cell r="AH133">
            <v>0</v>
          </cell>
          <cell r="AI133">
            <v>0</v>
          </cell>
          <cell r="AJ133" t="e">
            <v>#N/A</v>
          </cell>
          <cell r="AK133" t="e">
            <v>#N/A</v>
          </cell>
          <cell r="AL133" t="e">
            <v>#N/A</v>
          </cell>
          <cell r="AM133" t="str">
            <v/>
          </cell>
          <cell r="AN133">
            <v>0</v>
          </cell>
          <cell r="AO133" t="str">
            <v/>
          </cell>
          <cell r="AP133">
            <v>0</v>
          </cell>
          <cell r="AQ133" t="str">
            <v/>
          </cell>
          <cell r="AR133">
            <v>0</v>
          </cell>
          <cell r="AS133" t="str">
            <v/>
          </cell>
          <cell r="AT133" t="str">
            <v/>
          </cell>
          <cell r="AU133">
            <v>0</v>
          </cell>
          <cell r="AV133" t="str">
            <v/>
          </cell>
          <cell r="AW133" t="e">
            <v>#N/A</v>
          </cell>
          <cell r="AX133" t="e">
            <v>#N/A</v>
          </cell>
          <cell r="AY133" t="str">
            <v/>
          </cell>
          <cell r="AZ133">
            <v>0</v>
          </cell>
          <cell r="BA133" t="str">
            <v/>
          </cell>
          <cell r="BB133">
            <v>0</v>
          </cell>
          <cell r="BC133" t="str">
            <v/>
          </cell>
        </row>
        <row r="134">
          <cell r="AF134" t="str">
            <v/>
          </cell>
          <cell r="AG134" t="str">
            <v/>
          </cell>
          <cell r="AH134">
            <v>0</v>
          </cell>
          <cell r="AI134">
            <v>0</v>
          </cell>
          <cell r="AJ134" t="e">
            <v>#N/A</v>
          </cell>
          <cell r="AK134" t="e">
            <v>#N/A</v>
          </cell>
          <cell r="AL134" t="e">
            <v>#N/A</v>
          </cell>
          <cell r="AM134" t="str">
            <v/>
          </cell>
          <cell r="AN134">
            <v>0</v>
          </cell>
          <cell r="AO134" t="str">
            <v/>
          </cell>
          <cell r="AP134">
            <v>0</v>
          </cell>
          <cell r="AQ134" t="str">
            <v/>
          </cell>
          <cell r="AR134">
            <v>0</v>
          </cell>
          <cell r="AS134" t="str">
            <v/>
          </cell>
          <cell r="AT134" t="str">
            <v/>
          </cell>
          <cell r="AU134">
            <v>0</v>
          </cell>
          <cell r="AV134" t="str">
            <v/>
          </cell>
          <cell r="AW134" t="e">
            <v>#N/A</v>
          </cell>
          <cell r="AX134" t="e">
            <v>#N/A</v>
          </cell>
          <cell r="AY134" t="str">
            <v/>
          </cell>
          <cell r="AZ134">
            <v>0</v>
          </cell>
          <cell r="BA134" t="str">
            <v/>
          </cell>
          <cell r="BB134">
            <v>0</v>
          </cell>
          <cell r="BC134" t="str">
            <v/>
          </cell>
        </row>
        <row r="156">
          <cell r="F156">
            <v>0</v>
          </cell>
          <cell r="G156">
            <v>0</v>
          </cell>
          <cell r="H156">
            <v>0</v>
          </cell>
        </row>
        <row r="193">
          <cell r="G193">
            <v>0</v>
          </cell>
          <cell r="H193">
            <v>0</v>
          </cell>
          <cell r="I193">
            <v>0</v>
          </cell>
        </row>
        <row r="229">
          <cell r="G229">
            <v>0</v>
          </cell>
          <cell r="H229">
            <v>0</v>
          </cell>
          <cell r="I229">
            <v>0</v>
          </cell>
        </row>
        <row r="269">
          <cell r="G269">
            <v>0</v>
          </cell>
          <cell r="H269">
            <v>0</v>
          </cell>
          <cell r="I269">
            <v>0</v>
          </cell>
        </row>
        <row r="276">
          <cell r="F276">
            <v>0</v>
          </cell>
        </row>
        <row r="278">
          <cell r="F278">
            <v>0</v>
          </cell>
        </row>
      </sheetData>
      <sheetData sheetId="6" refreshError="1">
        <row r="209">
          <cell r="F209">
            <v>0</v>
          </cell>
        </row>
        <row r="225">
          <cell r="F225">
            <v>0</v>
          </cell>
        </row>
        <row r="226">
          <cell r="F226">
            <v>0</v>
          </cell>
          <cell r="AA226" t="str">
            <v>HFC</v>
          </cell>
        </row>
        <row r="227">
          <cell r="F227">
            <v>0</v>
          </cell>
          <cell r="AA227" t="str">
            <v>PFC</v>
          </cell>
        </row>
        <row r="228">
          <cell r="F228">
            <v>0</v>
          </cell>
          <cell r="G228">
            <v>0</v>
          </cell>
          <cell r="AA228" t="str">
            <v>Compostos</v>
          </cell>
        </row>
        <row r="229">
          <cell r="F229">
            <v>0</v>
          </cell>
          <cell r="G229">
            <v>0</v>
          </cell>
        </row>
        <row r="230">
          <cell r="F230">
            <v>0</v>
          </cell>
          <cell r="G230">
            <v>0</v>
          </cell>
        </row>
        <row r="231">
          <cell r="F231">
            <v>0</v>
          </cell>
          <cell r="G231">
            <v>0</v>
          </cell>
        </row>
        <row r="232">
          <cell r="F232">
            <v>0</v>
          </cell>
          <cell r="G232">
            <v>0</v>
          </cell>
        </row>
        <row r="233">
          <cell r="F233">
            <v>0</v>
          </cell>
          <cell r="G233">
            <v>0</v>
          </cell>
        </row>
        <row r="234">
          <cell r="F234">
            <v>0</v>
          </cell>
          <cell r="G234">
            <v>0</v>
          </cell>
        </row>
        <row r="235">
          <cell r="F235">
            <v>0</v>
          </cell>
          <cell r="G235">
            <v>0</v>
          </cell>
        </row>
        <row r="236">
          <cell r="F236">
            <v>0</v>
          </cell>
          <cell r="G236">
            <v>0</v>
          </cell>
        </row>
        <row r="237">
          <cell r="F237">
            <v>0</v>
          </cell>
          <cell r="G237">
            <v>0</v>
          </cell>
        </row>
        <row r="238">
          <cell r="F238">
            <v>0</v>
          </cell>
          <cell r="G238">
            <v>0</v>
          </cell>
        </row>
        <row r="239">
          <cell r="F239">
            <v>0</v>
          </cell>
          <cell r="G239">
            <v>0</v>
          </cell>
        </row>
        <row r="240">
          <cell r="F240">
            <v>0</v>
          </cell>
          <cell r="G240">
            <v>0</v>
          </cell>
        </row>
        <row r="241">
          <cell r="F241">
            <v>0</v>
          </cell>
          <cell r="G241">
            <v>0</v>
          </cell>
        </row>
        <row r="242">
          <cell r="F242">
            <v>0</v>
          </cell>
          <cell r="G242">
            <v>0</v>
          </cell>
        </row>
        <row r="243">
          <cell r="F243">
            <v>0</v>
          </cell>
          <cell r="G243">
            <v>0</v>
          </cell>
        </row>
        <row r="244">
          <cell r="F244">
            <v>0</v>
          </cell>
          <cell r="G244">
            <v>0</v>
          </cell>
        </row>
        <row r="245">
          <cell r="F245">
            <v>0</v>
          </cell>
          <cell r="G245">
            <v>0</v>
          </cell>
        </row>
        <row r="246">
          <cell r="F246">
            <v>0</v>
          </cell>
          <cell r="G246">
            <v>0</v>
          </cell>
        </row>
        <row r="247">
          <cell r="F247">
            <v>0</v>
          </cell>
          <cell r="G247">
            <v>0</v>
          </cell>
        </row>
        <row r="248">
          <cell r="F248">
            <v>0</v>
          </cell>
          <cell r="G248">
            <v>0</v>
          </cell>
        </row>
        <row r="249">
          <cell r="F249">
            <v>0</v>
          </cell>
          <cell r="G249">
            <v>0</v>
          </cell>
        </row>
        <row r="250">
          <cell r="F250">
            <v>0</v>
          </cell>
          <cell r="G250">
            <v>0</v>
          </cell>
        </row>
        <row r="251">
          <cell r="F251">
            <v>0</v>
          </cell>
          <cell r="G251">
            <v>0</v>
          </cell>
        </row>
        <row r="252">
          <cell r="F252">
            <v>0</v>
          </cell>
          <cell r="G252">
            <v>0</v>
          </cell>
        </row>
        <row r="253">
          <cell r="F253">
            <v>0</v>
          </cell>
          <cell r="G253">
            <v>0</v>
          </cell>
        </row>
        <row r="254">
          <cell r="F254">
            <v>0</v>
          </cell>
          <cell r="G254">
            <v>0</v>
          </cell>
        </row>
        <row r="255">
          <cell r="F255">
            <v>0</v>
          </cell>
          <cell r="G255">
            <v>0</v>
          </cell>
        </row>
        <row r="256">
          <cell r="F256">
            <v>0</v>
          </cell>
          <cell r="G256">
            <v>0</v>
          </cell>
        </row>
        <row r="257">
          <cell r="F257">
            <v>0</v>
          </cell>
          <cell r="G257">
            <v>0</v>
          </cell>
        </row>
        <row r="258">
          <cell r="F258">
            <v>0</v>
          </cell>
          <cell r="G258">
            <v>0</v>
          </cell>
        </row>
        <row r="259">
          <cell r="F259">
            <v>0</v>
          </cell>
          <cell r="G259">
            <v>0</v>
          </cell>
        </row>
        <row r="260">
          <cell r="F260">
            <v>0</v>
          </cell>
          <cell r="G260">
            <v>0</v>
          </cell>
        </row>
        <row r="261">
          <cell r="F261">
            <v>0</v>
          </cell>
          <cell r="G261">
            <v>0</v>
          </cell>
        </row>
        <row r="262">
          <cell r="F262">
            <v>0</v>
          </cell>
          <cell r="G262">
            <v>0</v>
          </cell>
        </row>
        <row r="263">
          <cell r="F263">
            <v>0</v>
          </cell>
          <cell r="G263">
            <v>0</v>
          </cell>
        </row>
        <row r="264">
          <cell r="F264">
            <v>0</v>
          </cell>
          <cell r="G264">
            <v>0</v>
          </cell>
        </row>
        <row r="265">
          <cell r="F265">
            <v>0</v>
          </cell>
          <cell r="G265">
            <v>0</v>
          </cell>
        </row>
        <row r="266">
          <cell r="F266">
            <v>0</v>
          </cell>
          <cell r="G266">
            <v>0</v>
          </cell>
        </row>
        <row r="267">
          <cell r="F267">
            <v>0</v>
          </cell>
          <cell r="G267">
            <v>0</v>
          </cell>
        </row>
        <row r="268">
          <cell r="F268">
            <v>0</v>
          </cell>
          <cell r="G268">
            <v>0</v>
          </cell>
        </row>
        <row r="269">
          <cell r="F269">
            <v>0</v>
          </cell>
          <cell r="G269">
            <v>0</v>
          </cell>
        </row>
        <row r="270">
          <cell r="F270">
            <v>0</v>
          </cell>
          <cell r="G270">
            <v>0</v>
          </cell>
        </row>
        <row r="271">
          <cell r="F271">
            <v>0</v>
          </cell>
          <cell r="G271">
            <v>0</v>
          </cell>
        </row>
        <row r="272">
          <cell r="F272">
            <v>0</v>
          </cell>
          <cell r="G272">
            <v>0</v>
          </cell>
        </row>
        <row r="273">
          <cell r="F273">
            <v>0</v>
          </cell>
          <cell r="G273">
            <v>0</v>
          </cell>
        </row>
        <row r="274">
          <cell r="F274">
            <v>0</v>
          </cell>
          <cell r="G274">
            <v>0</v>
          </cell>
        </row>
        <row r="275">
          <cell r="F275">
            <v>0</v>
          </cell>
          <cell r="G275">
            <v>0</v>
          </cell>
        </row>
        <row r="276">
          <cell r="F276">
            <v>0</v>
          </cell>
          <cell r="G276">
            <v>0</v>
          </cell>
        </row>
        <row r="277">
          <cell r="F277">
            <v>0</v>
          </cell>
          <cell r="G277">
            <v>0</v>
          </cell>
        </row>
        <row r="278">
          <cell r="F278">
            <v>0</v>
          </cell>
          <cell r="G278">
            <v>0</v>
          </cell>
        </row>
        <row r="279">
          <cell r="F279">
            <v>0</v>
          </cell>
          <cell r="G279">
            <v>0</v>
          </cell>
        </row>
        <row r="280">
          <cell r="F280">
            <v>0</v>
          </cell>
          <cell r="G280">
            <v>0</v>
          </cell>
        </row>
        <row r="281">
          <cell r="F281">
            <v>0</v>
          </cell>
          <cell r="G281">
            <v>0</v>
          </cell>
        </row>
        <row r="282">
          <cell r="F282">
            <v>0</v>
          </cell>
          <cell r="G282">
            <v>0</v>
          </cell>
        </row>
        <row r="283">
          <cell r="F283">
            <v>0</v>
          </cell>
          <cell r="G283">
            <v>0</v>
          </cell>
        </row>
        <row r="284">
          <cell r="F284">
            <v>0</v>
          </cell>
          <cell r="G284">
            <v>0</v>
          </cell>
        </row>
        <row r="285">
          <cell r="F285">
            <v>0</v>
          </cell>
          <cell r="G285">
            <v>0</v>
          </cell>
        </row>
        <row r="286">
          <cell r="F286">
            <v>0</v>
          </cell>
          <cell r="G286">
            <v>0</v>
          </cell>
        </row>
        <row r="287">
          <cell r="F287">
            <v>0</v>
          </cell>
          <cell r="G287">
            <v>0</v>
          </cell>
        </row>
        <row r="288">
          <cell r="F288">
            <v>0</v>
          </cell>
          <cell r="G288">
            <v>0</v>
          </cell>
        </row>
        <row r="289">
          <cell r="F289">
            <v>0</v>
          </cell>
          <cell r="G289">
            <v>0</v>
          </cell>
        </row>
        <row r="290">
          <cell r="F290">
            <v>0</v>
          </cell>
          <cell r="G290">
            <v>0</v>
          </cell>
        </row>
        <row r="291">
          <cell r="F291">
            <v>0</v>
          </cell>
          <cell r="G291">
            <v>0</v>
          </cell>
        </row>
        <row r="292">
          <cell r="F292">
            <v>0</v>
          </cell>
          <cell r="G292">
            <v>0</v>
          </cell>
        </row>
        <row r="293">
          <cell r="F293">
            <v>0</v>
          </cell>
          <cell r="G293">
            <v>0</v>
          </cell>
        </row>
        <row r="294">
          <cell r="F294">
            <v>0</v>
          </cell>
          <cell r="G294">
            <v>0</v>
          </cell>
        </row>
        <row r="295">
          <cell r="F295">
            <v>0</v>
          </cell>
          <cell r="G295">
            <v>0</v>
          </cell>
        </row>
        <row r="296">
          <cell r="F296">
            <v>0</v>
          </cell>
          <cell r="G296">
            <v>0</v>
          </cell>
        </row>
        <row r="297">
          <cell r="F297">
            <v>0</v>
          </cell>
        </row>
      </sheetData>
      <sheetData sheetId="7" refreshError="1">
        <row r="31">
          <cell r="AE31">
            <v>0</v>
          </cell>
        </row>
        <row r="32">
          <cell r="AE32">
            <v>0</v>
          </cell>
        </row>
        <row r="33">
          <cell r="AE33">
            <v>0</v>
          </cell>
        </row>
        <row r="34">
          <cell r="AE34">
            <v>0</v>
          </cell>
          <cell r="AF34">
            <v>0</v>
          </cell>
        </row>
        <row r="35">
          <cell r="AE35">
            <v>0</v>
          </cell>
          <cell r="AF35">
            <v>0</v>
          </cell>
        </row>
        <row r="36">
          <cell r="AE36">
            <v>0</v>
          </cell>
          <cell r="AF36">
            <v>0</v>
          </cell>
        </row>
        <row r="37">
          <cell r="AE37">
            <v>0</v>
          </cell>
          <cell r="AF37">
            <v>0</v>
          </cell>
        </row>
        <row r="38">
          <cell r="AE38">
            <v>0</v>
          </cell>
          <cell r="AF38">
            <v>0</v>
          </cell>
        </row>
        <row r="39">
          <cell r="AE39">
            <v>0</v>
          </cell>
          <cell r="AF39">
            <v>0</v>
          </cell>
        </row>
        <row r="40">
          <cell r="AE40">
            <v>0</v>
          </cell>
          <cell r="AF40">
            <v>0</v>
          </cell>
        </row>
        <row r="41">
          <cell r="AE41">
            <v>0</v>
          </cell>
          <cell r="AF41">
            <v>0</v>
          </cell>
        </row>
        <row r="42">
          <cell r="AE42">
            <v>0</v>
          </cell>
          <cell r="AF42">
            <v>0</v>
          </cell>
        </row>
        <row r="43">
          <cell r="AE43">
            <v>0</v>
          </cell>
          <cell r="AF43">
            <v>0</v>
          </cell>
        </row>
        <row r="44">
          <cell r="AE44">
            <v>0</v>
          </cell>
          <cell r="AF44">
            <v>0</v>
          </cell>
        </row>
        <row r="45">
          <cell r="AE45">
            <v>0</v>
          </cell>
          <cell r="AF45">
            <v>0</v>
          </cell>
        </row>
        <row r="46">
          <cell r="AE46">
            <v>0</v>
          </cell>
          <cell r="AF46">
            <v>0</v>
          </cell>
        </row>
        <row r="47">
          <cell r="AE47">
            <v>0</v>
          </cell>
          <cell r="AF47">
            <v>0</v>
          </cell>
        </row>
        <row r="48">
          <cell r="AE48">
            <v>0</v>
          </cell>
          <cell r="AF48">
            <v>0</v>
          </cell>
        </row>
        <row r="49">
          <cell r="AE49">
            <v>0</v>
          </cell>
          <cell r="AF49">
            <v>0</v>
          </cell>
        </row>
        <row r="50">
          <cell r="AE50">
            <v>0</v>
          </cell>
          <cell r="AF50">
            <v>0</v>
          </cell>
        </row>
        <row r="51">
          <cell r="AE51">
            <v>0</v>
          </cell>
          <cell r="AF51">
            <v>0</v>
          </cell>
        </row>
        <row r="52">
          <cell r="AE52">
            <v>0</v>
          </cell>
          <cell r="AF52">
            <v>0</v>
          </cell>
        </row>
        <row r="53">
          <cell r="AE53">
            <v>0</v>
          </cell>
          <cell r="AF53">
            <v>0</v>
          </cell>
        </row>
        <row r="54">
          <cell r="AE54">
            <v>0</v>
          </cell>
          <cell r="AF54">
            <v>0</v>
          </cell>
        </row>
        <row r="55">
          <cell r="AE55">
            <v>0</v>
          </cell>
          <cell r="AF55">
            <v>0</v>
          </cell>
        </row>
        <row r="56">
          <cell r="F56">
            <v>0</v>
          </cell>
          <cell r="AE56">
            <v>0</v>
          </cell>
          <cell r="AF56">
            <v>0</v>
          </cell>
        </row>
        <row r="57">
          <cell r="AE57">
            <v>0</v>
          </cell>
          <cell r="AF57">
            <v>0</v>
          </cell>
        </row>
        <row r="58">
          <cell r="F58">
            <v>0</v>
          </cell>
          <cell r="AE58">
            <v>0</v>
          </cell>
          <cell r="AF58">
            <v>0</v>
          </cell>
        </row>
        <row r="59">
          <cell r="AE59">
            <v>0</v>
          </cell>
          <cell r="AF59">
            <v>0</v>
          </cell>
        </row>
        <row r="60">
          <cell r="AE60">
            <v>0</v>
          </cell>
          <cell r="AF60">
            <v>0</v>
          </cell>
        </row>
        <row r="61">
          <cell r="AE61">
            <v>0</v>
          </cell>
          <cell r="AF61">
            <v>0</v>
          </cell>
        </row>
        <row r="62">
          <cell r="AE62">
            <v>0</v>
          </cell>
          <cell r="AF62">
            <v>0</v>
          </cell>
        </row>
        <row r="63">
          <cell r="AE63">
            <v>0</v>
          </cell>
          <cell r="AF63">
            <v>0</v>
          </cell>
        </row>
        <row r="64">
          <cell r="AE64">
            <v>0</v>
          </cell>
          <cell r="AF64">
            <v>0</v>
          </cell>
        </row>
        <row r="65">
          <cell r="AE65">
            <v>0</v>
          </cell>
          <cell r="AF65">
            <v>0</v>
          </cell>
        </row>
        <row r="66">
          <cell r="AE66">
            <v>0</v>
          </cell>
          <cell r="AF66">
            <v>0</v>
          </cell>
        </row>
        <row r="67">
          <cell r="AE67">
            <v>0</v>
          </cell>
          <cell r="AF67">
            <v>0</v>
          </cell>
        </row>
        <row r="68">
          <cell r="AE68">
            <v>0</v>
          </cell>
          <cell r="AF68">
            <v>0</v>
          </cell>
        </row>
        <row r="69">
          <cell r="AE69">
            <v>0</v>
          </cell>
          <cell r="AF69">
            <v>0</v>
          </cell>
        </row>
        <row r="70">
          <cell r="AE70">
            <v>0</v>
          </cell>
          <cell r="AF70">
            <v>0</v>
          </cell>
        </row>
        <row r="71">
          <cell r="AE71">
            <v>0</v>
          </cell>
          <cell r="AF71">
            <v>0</v>
          </cell>
        </row>
        <row r="72">
          <cell r="AE72">
            <v>0</v>
          </cell>
          <cell r="AF72">
            <v>0</v>
          </cell>
        </row>
        <row r="73">
          <cell r="AE73">
            <v>0</v>
          </cell>
          <cell r="AF73">
            <v>0</v>
          </cell>
        </row>
        <row r="74">
          <cell r="AE74">
            <v>0</v>
          </cell>
          <cell r="AF74">
            <v>0</v>
          </cell>
        </row>
        <row r="75">
          <cell r="AE75">
            <v>0</v>
          </cell>
          <cell r="AF75">
            <v>0</v>
          </cell>
        </row>
        <row r="76">
          <cell r="AE76">
            <v>0</v>
          </cell>
          <cell r="AF76">
            <v>0</v>
          </cell>
        </row>
        <row r="77">
          <cell r="AE77">
            <v>0</v>
          </cell>
          <cell r="AF77">
            <v>0</v>
          </cell>
        </row>
        <row r="78">
          <cell r="AE78">
            <v>0</v>
          </cell>
          <cell r="AF78">
            <v>0</v>
          </cell>
        </row>
        <row r="79">
          <cell r="AE79">
            <v>0</v>
          </cell>
          <cell r="AF79">
            <v>0</v>
          </cell>
        </row>
        <row r="80">
          <cell r="AE80">
            <v>0</v>
          </cell>
          <cell r="AF80">
            <v>0</v>
          </cell>
        </row>
        <row r="81">
          <cell r="AE81">
            <v>0</v>
          </cell>
          <cell r="AF81">
            <v>0</v>
          </cell>
        </row>
        <row r="82">
          <cell r="AE82">
            <v>0</v>
          </cell>
          <cell r="AF82">
            <v>0</v>
          </cell>
        </row>
        <row r="83">
          <cell r="AE83">
            <v>0</v>
          </cell>
          <cell r="AF83">
            <v>0</v>
          </cell>
        </row>
        <row r="84">
          <cell r="AE84">
            <v>0</v>
          </cell>
          <cell r="AF84">
            <v>0</v>
          </cell>
        </row>
        <row r="85">
          <cell r="AE85">
            <v>0</v>
          </cell>
          <cell r="AF85">
            <v>0</v>
          </cell>
        </row>
        <row r="86">
          <cell r="AE86">
            <v>0</v>
          </cell>
          <cell r="AF86">
            <v>0</v>
          </cell>
        </row>
        <row r="87">
          <cell r="AE87">
            <v>0</v>
          </cell>
          <cell r="AF87">
            <v>0</v>
          </cell>
        </row>
        <row r="88">
          <cell r="AE88">
            <v>0</v>
          </cell>
          <cell r="AF88">
            <v>0</v>
          </cell>
        </row>
        <row r="89">
          <cell r="AE89">
            <v>0</v>
          </cell>
          <cell r="AF89">
            <v>0</v>
          </cell>
        </row>
        <row r="90">
          <cell r="AE90">
            <v>0</v>
          </cell>
          <cell r="AF90">
            <v>0</v>
          </cell>
        </row>
        <row r="91">
          <cell r="AE91">
            <v>0</v>
          </cell>
          <cell r="AF91">
            <v>0</v>
          </cell>
        </row>
        <row r="92">
          <cell r="AE92">
            <v>0</v>
          </cell>
          <cell r="AF92">
            <v>0</v>
          </cell>
        </row>
        <row r="93">
          <cell r="AE93">
            <v>0</v>
          </cell>
          <cell r="AF93">
            <v>0</v>
          </cell>
        </row>
        <row r="94">
          <cell r="AE94">
            <v>0</v>
          </cell>
          <cell r="AF94">
            <v>0</v>
          </cell>
        </row>
        <row r="95">
          <cell r="AE95">
            <v>0</v>
          </cell>
          <cell r="AF95">
            <v>0</v>
          </cell>
        </row>
        <row r="96">
          <cell r="AE96">
            <v>0</v>
          </cell>
          <cell r="AF96">
            <v>0</v>
          </cell>
        </row>
        <row r="97">
          <cell r="AE97">
            <v>0</v>
          </cell>
          <cell r="AF97">
            <v>0</v>
          </cell>
        </row>
        <row r="98">
          <cell r="AE98">
            <v>0</v>
          </cell>
          <cell r="AF98">
            <v>0</v>
          </cell>
        </row>
        <row r="99">
          <cell r="AE99">
            <v>0</v>
          </cell>
          <cell r="AF99">
            <v>0</v>
          </cell>
        </row>
        <row r="100">
          <cell r="AE100">
            <v>0</v>
          </cell>
          <cell r="AF100">
            <v>0</v>
          </cell>
        </row>
        <row r="101">
          <cell r="AE101">
            <v>0</v>
          </cell>
          <cell r="AF101">
            <v>0</v>
          </cell>
        </row>
        <row r="102">
          <cell r="AE102">
            <v>0</v>
          </cell>
          <cell r="AF102">
            <v>0</v>
          </cell>
        </row>
        <row r="103">
          <cell r="AE103">
            <v>0</v>
          </cell>
        </row>
      </sheetData>
      <sheetData sheetId="8" refreshError="1">
        <row r="31">
          <cell r="AE31">
            <v>0</v>
          </cell>
        </row>
        <row r="32">
          <cell r="AE32">
            <v>0</v>
          </cell>
        </row>
        <row r="33">
          <cell r="AE33">
            <v>0</v>
          </cell>
        </row>
        <row r="34">
          <cell r="AE34">
            <v>0</v>
          </cell>
          <cell r="AF34">
            <v>0</v>
          </cell>
        </row>
        <row r="35">
          <cell r="AE35">
            <v>0</v>
          </cell>
          <cell r="AF35">
            <v>0</v>
          </cell>
        </row>
        <row r="36">
          <cell r="AE36">
            <v>0</v>
          </cell>
          <cell r="AF36">
            <v>0</v>
          </cell>
        </row>
        <row r="37">
          <cell r="AE37">
            <v>0</v>
          </cell>
          <cell r="AF37">
            <v>0</v>
          </cell>
        </row>
        <row r="38">
          <cell r="AE38">
            <v>0</v>
          </cell>
          <cell r="AF38">
            <v>0</v>
          </cell>
        </row>
        <row r="39">
          <cell r="AE39">
            <v>0</v>
          </cell>
          <cell r="AF39">
            <v>0</v>
          </cell>
        </row>
        <row r="40">
          <cell r="AE40">
            <v>0</v>
          </cell>
          <cell r="AF40">
            <v>0</v>
          </cell>
        </row>
        <row r="41">
          <cell r="AE41">
            <v>0</v>
          </cell>
          <cell r="AF41">
            <v>0</v>
          </cell>
        </row>
        <row r="42">
          <cell r="AE42">
            <v>0</v>
          </cell>
          <cell r="AF42">
            <v>0</v>
          </cell>
        </row>
        <row r="43">
          <cell r="AE43">
            <v>0</v>
          </cell>
          <cell r="AF43">
            <v>0</v>
          </cell>
        </row>
        <row r="44">
          <cell r="AE44">
            <v>0</v>
          </cell>
          <cell r="AF44">
            <v>0</v>
          </cell>
        </row>
        <row r="45">
          <cell r="AE45">
            <v>0</v>
          </cell>
          <cell r="AF45">
            <v>0</v>
          </cell>
        </row>
        <row r="46">
          <cell r="AE46">
            <v>0</v>
          </cell>
          <cell r="AF46">
            <v>0</v>
          </cell>
        </row>
        <row r="47">
          <cell r="AE47">
            <v>0</v>
          </cell>
          <cell r="AF47">
            <v>0</v>
          </cell>
        </row>
        <row r="48">
          <cell r="AE48">
            <v>0</v>
          </cell>
          <cell r="AF48">
            <v>0</v>
          </cell>
        </row>
        <row r="49">
          <cell r="AE49">
            <v>0</v>
          </cell>
          <cell r="AF49">
            <v>0</v>
          </cell>
        </row>
        <row r="50">
          <cell r="AE50">
            <v>0</v>
          </cell>
          <cell r="AF50">
            <v>0</v>
          </cell>
        </row>
        <row r="51">
          <cell r="AE51">
            <v>0</v>
          </cell>
          <cell r="AF51">
            <v>0</v>
          </cell>
        </row>
        <row r="52">
          <cell r="F52">
            <v>0</v>
          </cell>
          <cell r="AE52">
            <v>0</v>
          </cell>
          <cell r="AF52">
            <v>0</v>
          </cell>
        </row>
        <row r="53">
          <cell r="AE53">
            <v>0</v>
          </cell>
          <cell r="AF53">
            <v>0</v>
          </cell>
        </row>
        <row r="54">
          <cell r="F54">
            <v>0</v>
          </cell>
          <cell r="AE54">
            <v>0</v>
          </cell>
          <cell r="AF54">
            <v>0</v>
          </cell>
        </row>
        <row r="55">
          <cell r="AE55">
            <v>0</v>
          </cell>
          <cell r="AF55">
            <v>0</v>
          </cell>
        </row>
        <row r="56">
          <cell r="AE56">
            <v>0</v>
          </cell>
          <cell r="AF56">
            <v>0</v>
          </cell>
        </row>
        <row r="57">
          <cell r="AE57">
            <v>0</v>
          </cell>
          <cell r="AF57">
            <v>0</v>
          </cell>
        </row>
        <row r="58">
          <cell r="AE58">
            <v>0</v>
          </cell>
          <cell r="AF58">
            <v>0</v>
          </cell>
        </row>
        <row r="59">
          <cell r="AE59">
            <v>0</v>
          </cell>
          <cell r="AF59">
            <v>0</v>
          </cell>
        </row>
        <row r="60">
          <cell r="AE60">
            <v>0</v>
          </cell>
          <cell r="AF60">
            <v>0</v>
          </cell>
        </row>
        <row r="61">
          <cell r="AE61">
            <v>0</v>
          </cell>
          <cell r="AF61">
            <v>0</v>
          </cell>
        </row>
        <row r="62">
          <cell r="AE62">
            <v>0</v>
          </cell>
          <cell r="AF62">
            <v>0</v>
          </cell>
        </row>
        <row r="63">
          <cell r="AE63">
            <v>0</v>
          </cell>
          <cell r="AF63">
            <v>0</v>
          </cell>
        </row>
        <row r="64">
          <cell r="AE64">
            <v>0</v>
          </cell>
          <cell r="AF64">
            <v>0</v>
          </cell>
        </row>
        <row r="65">
          <cell r="AE65">
            <v>0</v>
          </cell>
          <cell r="AF65">
            <v>0</v>
          </cell>
        </row>
        <row r="66">
          <cell r="AE66">
            <v>0</v>
          </cell>
          <cell r="AF66">
            <v>0</v>
          </cell>
        </row>
        <row r="67">
          <cell r="AE67">
            <v>0</v>
          </cell>
          <cell r="AF67">
            <v>0</v>
          </cell>
        </row>
        <row r="68">
          <cell r="AE68">
            <v>0</v>
          </cell>
          <cell r="AF68">
            <v>0</v>
          </cell>
        </row>
        <row r="69">
          <cell r="AE69">
            <v>0</v>
          </cell>
          <cell r="AF69">
            <v>0</v>
          </cell>
        </row>
        <row r="70">
          <cell r="AE70">
            <v>0</v>
          </cell>
          <cell r="AF70">
            <v>0</v>
          </cell>
        </row>
        <row r="71">
          <cell r="AE71">
            <v>0</v>
          </cell>
          <cell r="AF71">
            <v>0</v>
          </cell>
        </row>
        <row r="72">
          <cell r="AE72">
            <v>0</v>
          </cell>
          <cell r="AF72">
            <v>0</v>
          </cell>
        </row>
        <row r="73">
          <cell r="AE73">
            <v>0</v>
          </cell>
          <cell r="AF73">
            <v>0</v>
          </cell>
        </row>
        <row r="74">
          <cell r="AE74">
            <v>0</v>
          </cell>
          <cell r="AF74">
            <v>0</v>
          </cell>
        </row>
        <row r="75">
          <cell r="AE75">
            <v>0</v>
          </cell>
          <cell r="AF75">
            <v>0</v>
          </cell>
        </row>
        <row r="76">
          <cell r="AE76">
            <v>0</v>
          </cell>
          <cell r="AF76">
            <v>0</v>
          </cell>
        </row>
        <row r="77">
          <cell r="AE77">
            <v>0</v>
          </cell>
          <cell r="AF77">
            <v>0</v>
          </cell>
        </row>
        <row r="78">
          <cell r="AE78">
            <v>0</v>
          </cell>
          <cell r="AF78">
            <v>0</v>
          </cell>
        </row>
        <row r="79">
          <cell r="AE79">
            <v>0</v>
          </cell>
          <cell r="AF79">
            <v>0</v>
          </cell>
        </row>
        <row r="80">
          <cell r="AE80">
            <v>0</v>
          </cell>
          <cell r="AF80">
            <v>0</v>
          </cell>
        </row>
        <row r="81">
          <cell r="AE81">
            <v>0</v>
          </cell>
          <cell r="AF81">
            <v>0</v>
          </cell>
        </row>
        <row r="82">
          <cell r="AE82">
            <v>0</v>
          </cell>
          <cell r="AF82">
            <v>0</v>
          </cell>
        </row>
        <row r="83">
          <cell r="AE83">
            <v>0</v>
          </cell>
          <cell r="AF83">
            <v>0</v>
          </cell>
        </row>
        <row r="84">
          <cell r="AE84">
            <v>0</v>
          </cell>
          <cell r="AF84">
            <v>0</v>
          </cell>
        </row>
        <row r="85">
          <cell r="AE85">
            <v>0</v>
          </cell>
          <cell r="AF85">
            <v>0</v>
          </cell>
        </row>
        <row r="86">
          <cell r="AE86">
            <v>0</v>
          </cell>
          <cell r="AF86">
            <v>0</v>
          </cell>
        </row>
        <row r="87">
          <cell r="AE87">
            <v>0</v>
          </cell>
          <cell r="AF87">
            <v>0</v>
          </cell>
        </row>
        <row r="88">
          <cell r="AE88">
            <v>0</v>
          </cell>
          <cell r="AF88">
            <v>0</v>
          </cell>
        </row>
        <row r="89">
          <cell r="AE89">
            <v>0</v>
          </cell>
          <cell r="AF89">
            <v>0</v>
          </cell>
        </row>
        <row r="90">
          <cell r="AE90">
            <v>0</v>
          </cell>
          <cell r="AF90">
            <v>0</v>
          </cell>
        </row>
        <row r="91">
          <cell r="AE91">
            <v>0</v>
          </cell>
          <cell r="AF91">
            <v>0</v>
          </cell>
        </row>
        <row r="92">
          <cell r="AE92">
            <v>0</v>
          </cell>
          <cell r="AF92">
            <v>0</v>
          </cell>
        </row>
        <row r="93">
          <cell r="AE93">
            <v>0</v>
          </cell>
          <cell r="AF93">
            <v>0</v>
          </cell>
        </row>
        <row r="94">
          <cell r="AE94">
            <v>0</v>
          </cell>
          <cell r="AF94">
            <v>0</v>
          </cell>
        </row>
        <row r="95">
          <cell r="AE95">
            <v>0</v>
          </cell>
          <cell r="AF95">
            <v>0</v>
          </cell>
        </row>
        <row r="96">
          <cell r="AE96">
            <v>0</v>
          </cell>
          <cell r="AF96">
            <v>0</v>
          </cell>
        </row>
        <row r="97">
          <cell r="AE97">
            <v>0</v>
          </cell>
          <cell r="AF97">
            <v>0</v>
          </cell>
        </row>
        <row r="98">
          <cell r="AE98">
            <v>0</v>
          </cell>
          <cell r="AF98">
            <v>0</v>
          </cell>
        </row>
        <row r="99">
          <cell r="AE99">
            <v>0</v>
          </cell>
          <cell r="AF99">
            <v>0</v>
          </cell>
        </row>
        <row r="100">
          <cell r="AE100">
            <v>0</v>
          </cell>
          <cell r="AF100">
            <v>0</v>
          </cell>
        </row>
        <row r="101">
          <cell r="AE101">
            <v>0</v>
          </cell>
          <cell r="AF101">
            <v>0</v>
          </cell>
        </row>
        <row r="102">
          <cell r="AE102">
            <v>0</v>
          </cell>
          <cell r="AF102">
            <v>0</v>
          </cell>
        </row>
        <row r="103">
          <cell r="AE103">
            <v>0</v>
          </cell>
        </row>
      </sheetData>
      <sheetData sheetId="9" refreshError="1"/>
      <sheetData sheetId="10" refreshError="1">
        <row r="109">
          <cell r="E109">
            <v>0</v>
          </cell>
        </row>
        <row r="110">
          <cell r="E110">
            <v>0</v>
          </cell>
        </row>
        <row r="118">
          <cell r="D118">
            <v>0</v>
          </cell>
        </row>
        <row r="120">
          <cell r="D120">
            <v>0</v>
          </cell>
        </row>
      </sheetData>
      <sheetData sheetId="11" refreshError="1">
        <row r="164">
          <cell r="J164">
            <v>0</v>
          </cell>
        </row>
      </sheetData>
      <sheetData sheetId="12" refreshError="1">
        <row r="89">
          <cell r="F89">
            <v>0</v>
          </cell>
          <cell r="G89">
            <v>0</v>
          </cell>
          <cell r="H89">
            <v>0</v>
          </cell>
        </row>
        <row r="103">
          <cell r="G103">
            <v>0</v>
          </cell>
          <cell r="H103">
            <v>0</v>
          </cell>
        </row>
        <row r="108">
          <cell r="F108">
            <v>0</v>
          </cell>
        </row>
        <row r="110">
          <cell r="F110">
            <v>0</v>
          </cell>
        </row>
      </sheetData>
      <sheetData sheetId="13" refreshError="1">
        <row r="25">
          <cell r="C25">
            <v>0</v>
          </cell>
          <cell r="E25">
            <v>0</v>
          </cell>
          <cell r="G25">
            <v>0</v>
          </cell>
          <cell r="I25">
            <v>0</v>
          </cell>
        </row>
        <row r="26">
          <cell r="C26">
            <v>0</v>
          </cell>
          <cell r="E26">
            <v>0</v>
          </cell>
          <cell r="G26">
            <v>0</v>
          </cell>
          <cell r="I26">
            <v>0</v>
          </cell>
        </row>
        <row r="27">
          <cell r="C27">
            <v>0</v>
          </cell>
          <cell r="E27">
            <v>0</v>
          </cell>
          <cell r="G27">
            <v>0</v>
          </cell>
          <cell r="I27">
            <v>0</v>
          </cell>
        </row>
        <row r="28">
          <cell r="C28">
            <v>0</v>
          </cell>
          <cell r="D28">
            <v>0</v>
          </cell>
          <cell r="E28">
            <v>0</v>
          </cell>
          <cell r="F28">
            <v>0</v>
          </cell>
          <cell r="G28">
            <v>0</v>
          </cell>
          <cell r="H28">
            <v>0</v>
          </cell>
        </row>
        <row r="29">
          <cell r="C29">
            <v>0</v>
          </cell>
          <cell r="D29">
            <v>0</v>
          </cell>
          <cell r="E29">
            <v>0</v>
          </cell>
          <cell r="F29">
            <v>0</v>
          </cell>
          <cell r="G29">
            <v>0</v>
          </cell>
          <cell r="H29">
            <v>0</v>
          </cell>
        </row>
        <row r="30">
          <cell r="C30">
            <v>0</v>
          </cell>
          <cell r="E30">
            <v>0</v>
          </cell>
          <cell r="G30">
            <v>0</v>
          </cell>
        </row>
        <row r="31">
          <cell r="D31">
            <v>0</v>
          </cell>
          <cell r="F31">
            <v>0</v>
          </cell>
          <cell r="H31">
            <v>0</v>
          </cell>
          <cell r="J31">
            <v>0</v>
          </cell>
        </row>
        <row r="33">
          <cell r="C33">
            <v>0</v>
          </cell>
          <cell r="E33">
            <v>0</v>
          </cell>
          <cell r="G33">
            <v>0</v>
          </cell>
          <cell r="I33">
            <v>0</v>
          </cell>
        </row>
        <row r="39">
          <cell r="C39">
            <v>0</v>
          </cell>
          <cell r="E39">
            <v>0</v>
          </cell>
          <cell r="G39">
            <v>0</v>
          </cell>
          <cell r="I39">
            <v>0</v>
          </cell>
        </row>
        <row r="40">
          <cell r="C40">
            <v>0</v>
          </cell>
          <cell r="E40">
            <v>0</v>
          </cell>
          <cell r="G40">
            <v>0</v>
          </cell>
          <cell r="I40">
            <v>0</v>
          </cell>
        </row>
        <row r="41">
          <cell r="C41">
            <v>0</v>
          </cell>
          <cell r="E41">
            <v>0</v>
          </cell>
          <cell r="G41">
            <v>0</v>
          </cell>
          <cell r="I41">
            <v>0</v>
          </cell>
        </row>
        <row r="42">
          <cell r="G42">
            <v>0</v>
          </cell>
          <cell r="H42">
            <v>0</v>
          </cell>
          <cell r="I42">
            <v>0</v>
          </cell>
          <cell r="J42">
            <v>0</v>
          </cell>
        </row>
        <row r="43">
          <cell r="G43">
            <v>0</v>
          </cell>
          <cell r="H43">
            <v>0</v>
          </cell>
          <cell r="I43">
            <v>0</v>
          </cell>
          <cell r="J43">
            <v>0</v>
          </cell>
        </row>
        <row r="44">
          <cell r="G44">
            <v>0</v>
          </cell>
          <cell r="I44">
            <v>0</v>
          </cell>
        </row>
        <row r="45">
          <cell r="D45">
            <v>0</v>
          </cell>
          <cell r="F45">
            <v>0</v>
          </cell>
          <cell r="H45">
            <v>0</v>
          </cell>
          <cell r="J45">
            <v>0</v>
          </cell>
        </row>
        <row r="47">
          <cell r="C47">
            <v>0</v>
          </cell>
          <cell r="E47">
            <v>0</v>
          </cell>
          <cell r="G47">
            <v>0</v>
          </cell>
          <cell r="I47">
            <v>0</v>
          </cell>
        </row>
        <row r="53">
          <cell r="C53">
            <v>0</v>
          </cell>
          <cell r="E53">
            <v>0</v>
          </cell>
          <cell r="G53">
            <v>0</v>
          </cell>
          <cell r="I53">
            <v>0</v>
          </cell>
        </row>
        <row r="54">
          <cell r="C54">
            <v>0</v>
          </cell>
          <cell r="E54">
            <v>0</v>
          </cell>
          <cell r="G54">
            <v>0</v>
          </cell>
          <cell r="I54">
            <v>0</v>
          </cell>
        </row>
        <row r="55">
          <cell r="C55">
            <v>0</v>
          </cell>
          <cell r="E55">
            <v>0</v>
          </cell>
          <cell r="G55">
            <v>0</v>
          </cell>
          <cell r="I55">
            <v>0</v>
          </cell>
        </row>
        <row r="56">
          <cell r="E56">
            <v>0</v>
          </cell>
          <cell r="F56">
            <v>0</v>
          </cell>
          <cell r="G56">
            <v>0</v>
          </cell>
          <cell r="H56">
            <v>0</v>
          </cell>
          <cell r="I56">
            <v>0</v>
          </cell>
          <cell r="J56">
            <v>0</v>
          </cell>
        </row>
        <row r="57">
          <cell r="E57">
            <v>0</v>
          </cell>
          <cell r="F57">
            <v>0</v>
          </cell>
          <cell r="G57">
            <v>0</v>
          </cell>
          <cell r="H57">
            <v>0</v>
          </cell>
          <cell r="I57">
            <v>0</v>
          </cell>
          <cell r="J57">
            <v>0</v>
          </cell>
        </row>
        <row r="58">
          <cell r="E58">
            <v>0</v>
          </cell>
          <cell r="G58">
            <v>0</v>
          </cell>
          <cell r="I58">
            <v>0</v>
          </cell>
        </row>
        <row r="59">
          <cell r="D59">
            <v>0</v>
          </cell>
          <cell r="F59">
            <v>0</v>
          </cell>
          <cell r="H59">
            <v>0</v>
          </cell>
          <cell r="J59">
            <v>0</v>
          </cell>
        </row>
        <row r="61">
          <cell r="C61">
            <v>0</v>
          </cell>
          <cell r="E61">
            <v>0</v>
          </cell>
          <cell r="G61">
            <v>0</v>
          </cell>
          <cell r="I61">
            <v>0</v>
          </cell>
        </row>
        <row r="67">
          <cell r="C67">
            <v>0</v>
          </cell>
          <cell r="E67">
            <v>0</v>
          </cell>
          <cell r="G67">
            <v>0</v>
          </cell>
          <cell r="I67">
            <v>0</v>
          </cell>
        </row>
        <row r="68">
          <cell r="C68">
            <v>0</v>
          </cell>
          <cell r="E68">
            <v>0</v>
          </cell>
          <cell r="G68">
            <v>0</v>
          </cell>
          <cell r="I68">
            <v>0</v>
          </cell>
        </row>
        <row r="69">
          <cell r="C69">
            <v>0</v>
          </cell>
          <cell r="E69">
            <v>0</v>
          </cell>
          <cell r="G69">
            <v>0</v>
          </cell>
          <cell r="I69">
            <v>0</v>
          </cell>
        </row>
        <row r="70">
          <cell r="C70">
            <v>0</v>
          </cell>
          <cell r="D70">
            <v>0</v>
          </cell>
          <cell r="E70">
            <v>0</v>
          </cell>
          <cell r="F70">
            <v>0</v>
          </cell>
          <cell r="G70">
            <v>0</v>
          </cell>
          <cell r="H70">
            <v>0</v>
          </cell>
          <cell r="I70">
            <v>0</v>
          </cell>
          <cell r="J70">
            <v>0</v>
          </cell>
        </row>
        <row r="71">
          <cell r="C71">
            <v>0</v>
          </cell>
          <cell r="D71">
            <v>0</v>
          </cell>
          <cell r="E71">
            <v>0</v>
          </cell>
          <cell r="F71">
            <v>0</v>
          </cell>
          <cell r="G71">
            <v>0</v>
          </cell>
          <cell r="H71">
            <v>0</v>
          </cell>
          <cell r="I71">
            <v>0</v>
          </cell>
          <cell r="J71">
            <v>0</v>
          </cell>
        </row>
        <row r="72">
          <cell r="C72">
            <v>0</v>
          </cell>
          <cell r="E72">
            <v>0</v>
          </cell>
          <cell r="G72">
            <v>0</v>
          </cell>
          <cell r="I72">
            <v>0</v>
          </cell>
        </row>
        <row r="73">
          <cell r="D73">
            <v>0</v>
          </cell>
          <cell r="F73">
            <v>0</v>
          </cell>
          <cell r="H73">
            <v>0</v>
          </cell>
          <cell r="J73">
            <v>0</v>
          </cell>
        </row>
        <row r="75">
          <cell r="C75">
            <v>0</v>
          </cell>
          <cell r="E75">
            <v>0</v>
          </cell>
          <cell r="G75">
            <v>0</v>
          </cell>
          <cell r="I75">
            <v>0</v>
          </cell>
        </row>
      </sheetData>
      <sheetData sheetId="14" refreshError="1">
        <row r="53">
          <cell r="AF53" t="str">
            <v/>
          </cell>
          <cell r="AG53" t="str">
            <v/>
          </cell>
          <cell r="AH53">
            <v>0</v>
          </cell>
          <cell r="AI53">
            <v>0</v>
          </cell>
          <cell r="AJ53" t="e">
            <v>#N/A</v>
          </cell>
          <cell r="AK53" t="e">
            <v>#N/A</v>
          </cell>
          <cell r="AL53" t="e">
            <v>#N/A</v>
          </cell>
          <cell r="AM53" t="str">
            <v/>
          </cell>
          <cell r="AN53">
            <v>0</v>
          </cell>
          <cell r="AO53" t="str">
            <v/>
          </cell>
          <cell r="AP53">
            <v>0</v>
          </cell>
          <cell r="AQ53" t="str">
            <v/>
          </cell>
          <cell r="AR53">
            <v>0</v>
          </cell>
          <cell r="AS53" t="str">
            <v/>
          </cell>
          <cell r="AT53" t="str">
            <v/>
          </cell>
          <cell r="AU53">
            <v>0</v>
          </cell>
          <cell r="AV53" t="e">
            <v>#N/A</v>
          </cell>
          <cell r="AW53" t="e">
            <v>#N/A</v>
          </cell>
          <cell r="AX53" t="e">
            <v>#N/A</v>
          </cell>
          <cell r="AY53" t="str">
            <v/>
          </cell>
          <cell r="AZ53">
            <v>0</v>
          </cell>
          <cell r="BA53" t="str">
            <v/>
          </cell>
          <cell r="BB53">
            <v>0</v>
          </cell>
          <cell r="BC53" t="str">
            <v/>
          </cell>
        </row>
        <row r="54">
          <cell r="AF54" t="str">
            <v/>
          </cell>
          <cell r="AG54" t="str">
            <v/>
          </cell>
          <cell r="AH54">
            <v>0</v>
          </cell>
          <cell r="AI54">
            <v>0</v>
          </cell>
          <cell r="AJ54" t="e">
            <v>#N/A</v>
          </cell>
          <cell r="AK54" t="e">
            <v>#N/A</v>
          </cell>
          <cell r="AL54" t="e">
            <v>#N/A</v>
          </cell>
          <cell r="AM54" t="str">
            <v/>
          </cell>
          <cell r="AN54">
            <v>0</v>
          </cell>
          <cell r="AO54" t="str">
            <v/>
          </cell>
          <cell r="AP54">
            <v>0</v>
          </cell>
          <cell r="AQ54" t="str">
            <v/>
          </cell>
          <cell r="AR54">
            <v>0</v>
          </cell>
          <cell r="AS54" t="str">
            <v/>
          </cell>
          <cell r="AT54" t="str">
            <v/>
          </cell>
          <cell r="AU54">
            <v>0</v>
          </cell>
          <cell r="AV54" t="e">
            <v>#N/A</v>
          </cell>
          <cell r="AW54" t="e">
            <v>#N/A</v>
          </cell>
          <cell r="AX54" t="e">
            <v>#N/A</v>
          </cell>
          <cell r="AY54" t="str">
            <v/>
          </cell>
          <cell r="AZ54">
            <v>0</v>
          </cell>
          <cell r="BA54" t="str">
            <v/>
          </cell>
          <cell r="BB54">
            <v>0</v>
          </cell>
          <cell r="BC54" t="str">
            <v/>
          </cell>
        </row>
        <row r="55">
          <cell r="AF55" t="str">
            <v/>
          </cell>
          <cell r="AG55" t="str">
            <v/>
          </cell>
          <cell r="AH55">
            <v>0</v>
          </cell>
          <cell r="AI55">
            <v>0</v>
          </cell>
          <cell r="AJ55" t="e">
            <v>#N/A</v>
          </cell>
          <cell r="AK55" t="e">
            <v>#N/A</v>
          </cell>
          <cell r="AL55" t="e">
            <v>#N/A</v>
          </cell>
          <cell r="AM55" t="str">
            <v/>
          </cell>
          <cell r="AN55">
            <v>0</v>
          </cell>
          <cell r="AO55" t="str">
            <v/>
          </cell>
          <cell r="AP55">
            <v>0</v>
          </cell>
          <cell r="AQ55" t="str">
            <v/>
          </cell>
          <cell r="AR55">
            <v>0</v>
          </cell>
          <cell r="AS55" t="str">
            <v/>
          </cell>
          <cell r="AT55" t="str">
            <v/>
          </cell>
          <cell r="AU55">
            <v>0</v>
          </cell>
          <cell r="AV55" t="e">
            <v>#N/A</v>
          </cell>
          <cell r="AW55" t="e">
            <v>#N/A</v>
          </cell>
          <cell r="AX55" t="e">
            <v>#N/A</v>
          </cell>
          <cell r="AY55" t="str">
            <v/>
          </cell>
          <cell r="AZ55">
            <v>0</v>
          </cell>
          <cell r="BA55" t="str">
            <v/>
          </cell>
          <cell r="BB55">
            <v>0</v>
          </cell>
          <cell r="BC55" t="str">
            <v/>
          </cell>
        </row>
        <row r="56">
          <cell r="AF56" t="str">
            <v/>
          </cell>
          <cell r="AG56" t="str">
            <v/>
          </cell>
          <cell r="AH56">
            <v>0</v>
          </cell>
          <cell r="AI56">
            <v>0</v>
          </cell>
          <cell r="AJ56" t="e">
            <v>#N/A</v>
          </cell>
          <cell r="AK56" t="e">
            <v>#N/A</v>
          </cell>
          <cell r="AL56" t="e">
            <v>#N/A</v>
          </cell>
          <cell r="AM56" t="str">
            <v/>
          </cell>
          <cell r="AN56">
            <v>0</v>
          </cell>
          <cell r="AO56" t="str">
            <v/>
          </cell>
          <cell r="AP56">
            <v>0</v>
          </cell>
          <cell r="AQ56" t="str">
            <v/>
          </cell>
          <cell r="AR56">
            <v>0</v>
          </cell>
          <cell r="AS56" t="str">
            <v/>
          </cell>
          <cell r="AT56" t="str">
            <v/>
          </cell>
          <cell r="AU56">
            <v>0</v>
          </cell>
          <cell r="AV56" t="e">
            <v>#N/A</v>
          </cell>
          <cell r="AW56" t="e">
            <v>#N/A</v>
          </cell>
          <cell r="AX56" t="e">
            <v>#N/A</v>
          </cell>
          <cell r="AY56" t="str">
            <v/>
          </cell>
          <cell r="AZ56">
            <v>0</v>
          </cell>
          <cell r="BA56" t="str">
            <v/>
          </cell>
          <cell r="BB56">
            <v>0</v>
          </cell>
          <cell r="BC56" t="str">
            <v/>
          </cell>
        </row>
        <row r="57">
          <cell r="AF57" t="str">
            <v/>
          </cell>
          <cell r="AG57" t="str">
            <v/>
          </cell>
          <cell r="AH57">
            <v>0</v>
          </cell>
          <cell r="AI57">
            <v>0</v>
          </cell>
          <cell r="AJ57" t="e">
            <v>#N/A</v>
          </cell>
          <cell r="AK57" t="e">
            <v>#N/A</v>
          </cell>
          <cell r="AL57" t="e">
            <v>#N/A</v>
          </cell>
          <cell r="AM57" t="str">
            <v/>
          </cell>
          <cell r="AN57">
            <v>0</v>
          </cell>
          <cell r="AO57" t="str">
            <v/>
          </cell>
          <cell r="AP57">
            <v>0</v>
          </cell>
          <cell r="AQ57" t="str">
            <v/>
          </cell>
          <cell r="AR57">
            <v>0</v>
          </cell>
          <cell r="AS57" t="str">
            <v/>
          </cell>
          <cell r="AT57" t="str">
            <v/>
          </cell>
          <cell r="AU57">
            <v>0</v>
          </cell>
          <cell r="AV57" t="e">
            <v>#N/A</v>
          </cell>
          <cell r="AW57" t="e">
            <v>#N/A</v>
          </cell>
          <cell r="AX57" t="e">
            <v>#N/A</v>
          </cell>
          <cell r="AY57" t="str">
            <v/>
          </cell>
          <cell r="AZ57">
            <v>0</v>
          </cell>
          <cell r="BA57" t="str">
            <v/>
          </cell>
          <cell r="BB57">
            <v>0</v>
          </cell>
          <cell r="BC57" t="str">
            <v/>
          </cell>
        </row>
        <row r="58">
          <cell r="AF58" t="str">
            <v/>
          </cell>
          <cell r="AG58" t="str">
            <v/>
          </cell>
          <cell r="AH58">
            <v>0</v>
          </cell>
          <cell r="AI58">
            <v>0</v>
          </cell>
          <cell r="AJ58" t="e">
            <v>#N/A</v>
          </cell>
          <cell r="AK58" t="e">
            <v>#N/A</v>
          </cell>
          <cell r="AL58" t="e">
            <v>#N/A</v>
          </cell>
          <cell r="AM58" t="str">
            <v/>
          </cell>
          <cell r="AN58">
            <v>0</v>
          </cell>
          <cell r="AO58" t="str">
            <v/>
          </cell>
          <cell r="AP58">
            <v>0</v>
          </cell>
          <cell r="AQ58" t="str">
            <v/>
          </cell>
          <cell r="AR58">
            <v>0</v>
          </cell>
          <cell r="AS58" t="str">
            <v/>
          </cell>
          <cell r="AT58" t="str">
            <v/>
          </cell>
          <cell r="AU58">
            <v>0</v>
          </cell>
          <cell r="AV58" t="e">
            <v>#N/A</v>
          </cell>
          <cell r="AW58" t="e">
            <v>#N/A</v>
          </cell>
          <cell r="AX58" t="e">
            <v>#N/A</v>
          </cell>
          <cell r="AY58" t="str">
            <v/>
          </cell>
          <cell r="AZ58">
            <v>0</v>
          </cell>
          <cell r="BA58" t="str">
            <v/>
          </cell>
          <cell r="BB58">
            <v>0</v>
          </cell>
          <cell r="BC58" t="str">
            <v/>
          </cell>
        </row>
        <row r="59">
          <cell r="AF59" t="str">
            <v/>
          </cell>
          <cell r="AG59" t="str">
            <v/>
          </cell>
          <cell r="AH59">
            <v>0</v>
          </cell>
          <cell r="AI59">
            <v>0</v>
          </cell>
          <cell r="AJ59" t="e">
            <v>#N/A</v>
          </cell>
          <cell r="AK59" t="e">
            <v>#N/A</v>
          </cell>
          <cell r="AL59" t="e">
            <v>#N/A</v>
          </cell>
          <cell r="AM59" t="str">
            <v/>
          </cell>
          <cell r="AN59">
            <v>0</v>
          </cell>
          <cell r="AO59" t="str">
            <v/>
          </cell>
          <cell r="AP59">
            <v>0</v>
          </cell>
          <cell r="AQ59" t="str">
            <v/>
          </cell>
          <cell r="AR59">
            <v>0</v>
          </cell>
          <cell r="AS59" t="str">
            <v/>
          </cell>
          <cell r="AT59" t="str">
            <v/>
          </cell>
          <cell r="AU59">
            <v>0</v>
          </cell>
          <cell r="AV59" t="e">
            <v>#N/A</v>
          </cell>
          <cell r="AW59" t="e">
            <v>#N/A</v>
          </cell>
          <cell r="AX59" t="e">
            <v>#N/A</v>
          </cell>
          <cell r="AY59" t="str">
            <v/>
          </cell>
          <cell r="AZ59">
            <v>0</v>
          </cell>
          <cell r="BA59" t="str">
            <v/>
          </cell>
          <cell r="BB59">
            <v>0</v>
          </cell>
          <cell r="BC59" t="str">
            <v/>
          </cell>
        </row>
        <row r="60">
          <cell r="AF60" t="str">
            <v/>
          </cell>
          <cell r="AG60" t="str">
            <v/>
          </cell>
          <cell r="AH60">
            <v>0</v>
          </cell>
          <cell r="AI60">
            <v>0</v>
          </cell>
          <cell r="AJ60" t="e">
            <v>#N/A</v>
          </cell>
          <cell r="AK60" t="e">
            <v>#N/A</v>
          </cell>
          <cell r="AL60" t="e">
            <v>#N/A</v>
          </cell>
          <cell r="AM60" t="str">
            <v/>
          </cell>
          <cell r="AN60">
            <v>0</v>
          </cell>
          <cell r="AO60" t="str">
            <v/>
          </cell>
          <cell r="AP60">
            <v>0</v>
          </cell>
          <cell r="AQ60" t="str">
            <v/>
          </cell>
          <cell r="AR60">
            <v>0</v>
          </cell>
          <cell r="AS60" t="str">
            <v/>
          </cell>
          <cell r="AT60" t="str">
            <v/>
          </cell>
          <cell r="AU60">
            <v>0</v>
          </cell>
          <cell r="AV60" t="e">
            <v>#N/A</v>
          </cell>
          <cell r="AW60" t="e">
            <v>#N/A</v>
          </cell>
          <cell r="AX60" t="e">
            <v>#N/A</v>
          </cell>
          <cell r="AY60" t="str">
            <v/>
          </cell>
          <cell r="AZ60">
            <v>0</v>
          </cell>
          <cell r="BA60" t="str">
            <v/>
          </cell>
          <cell r="BB60">
            <v>0</v>
          </cell>
          <cell r="BC60" t="str">
            <v/>
          </cell>
        </row>
        <row r="61">
          <cell r="AF61" t="str">
            <v/>
          </cell>
          <cell r="AG61" t="str">
            <v/>
          </cell>
          <cell r="AH61">
            <v>0</v>
          </cell>
          <cell r="AI61">
            <v>0</v>
          </cell>
          <cell r="AJ61" t="e">
            <v>#N/A</v>
          </cell>
          <cell r="AK61" t="e">
            <v>#N/A</v>
          </cell>
          <cell r="AL61" t="e">
            <v>#N/A</v>
          </cell>
          <cell r="AM61" t="str">
            <v/>
          </cell>
          <cell r="AN61">
            <v>0</v>
          </cell>
          <cell r="AO61" t="str">
            <v/>
          </cell>
          <cell r="AP61">
            <v>0</v>
          </cell>
          <cell r="AQ61" t="str">
            <v/>
          </cell>
          <cell r="AR61">
            <v>0</v>
          </cell>
          <cell r="AS61" t="str">
            <v/>
          </cell>
          <cell r="AT61" t="str">
            <v/>
          </cell>
          <cell r="AU61">
            <v>0</v>
          </cell>
          <cell r="AV61" t="e">
            <v>#N/A</v>
          </cell>
          <cell r="AW61" t="e">
            <v>#N/A</v>
          </cell>
          <cell r="AX61" t="e">
            <v>#N/A</v>
          </cell>
          <cell r="AY61" t="str">
            <v/>
          </cell>
          <cell r="AZ61">
            <v>0</v>
          </cell>
          <cell r="BA61" t="str">
            <v/>
          </cell>
          <cell r="BB61">
            <v>0</v>
          </cell>
          <cell r="BC61" t="str">
            <v/>
          </cell>
        </row>
        <row r="62">
          <cell r="AF62" t="str">
            <v/>
          </cell>
          <cell r="AG62" t="str">
            <v/>
          </cell>
          <cell r="AH62">
            <v>0</v>
          </cell>
          <cell r="AI62">
            <v>0</v>
          </cell>
          <cell r="AJ62" t="e">
            <v>#N/A</v>
          </cell>
          <cell r="AK62" t="e">
            <v>#N/A</v>
          </cell>
          <cell r="AL62" t="e">
            <v>#N/A</v>
          </cell>
          <cell r="AM62" t="str">
            <v/>
          </cell>
          <cell r="AN62">
            <v>0</v>
          </cell>
          <cell r="AO62" t="str">
            <v/>
          </cell>
          <cell r="AP62">
            <v>0</v>
          </cell>
          <cell r="AQ62" t="str">
            <v/>
          </cell>
          <cell r="AR62">
            <v>0</v>
          </cell>
          <cell r="AS62" t="str">
            <v/>
          </cell>
          <cell r="AT62" t="str">
            <v/>
          </cell>
          <cell r="AU62">
            <v>0</v>
          </cell>
          <cell r="AV62" t="e">
            <v>#N/A</v>
          </cell>
          <cell r="AW62" t="e">
            <v>#N/A</v>
          </cell>
          <cell r="AX62" t="e">
            <v>#N/A</v>
          </cell>
          <cell r="AY62" t="str">
            <v/>
          </cell>
          <cell r="AZ62">
            <v>0</v>
          </cell>
          <cell r="BA62" t="str">
            <v/>
          </cell>
          <cell r="BB62">
            <v>0</v>
          </cell>
          <cell r="BC62" t="str">
            <v/>
          </cell>
        </row>
        <row r="63">
          <cell r="AF63" t="str">
            <v/>
          </cell>
          <cell r="AG63" t="str">
            <v/>
          </cell>
          <cell r="AH63">
            <v>0</v>
          </cell>
          <cell r="AI63">
            <v>0</v>
          </cell>
          <cell r="AJ63" t="e">
            <v>#N/A</v>
          </cell>
          <cell r="AK63" t="e">
            <v>#N/A</v>
          </cell>
          <cell r="AL63" t="e">
            <v>#N/A</v>
          </cell>
          <cell r="AM63" t="str">
            <v/>
          </cell>
          <cell r="AN63">
            <v>0</v>
          </cell>
          <cell r="AO63" t="str">
            <v/>
          </cell>
          <cell r="AP63">
            <v>0</v>
          </cell>
          <cell r="AQ63" t="str">
            <v/>
          </cell>
          <cell r="AR63">
            <v>0</v>
          </cell>
          <cell r="AS63" t="str">
            <v/>
          </cell>
          <cell r="AT63" t="str">
            <v/>
          </cell>
          <cell r="AU63">
            <v>0</v>
          </cell>
          <cell r="AV63" t="e">
            <v>#N/A</v>
          </cell>
          <cell r="AW63" t="e">
            <v>#N/A</v>
          </cell>
          <cell r="AX63" t="e">
            <v>#N/A</v>
          </cell>
          <cell r="AY63" t="str">
            <v/>
          </cell>
          <cell r="AZ63">
            <v>0</v>
          </cell>
          <cell r="BA63" t="str">
            <v/>
          </cell>
          <cell r="BB63">
            <v>0</v>
          </cell>
          <cell r="BC63" t="str">
            <v/>
          </cell>
        </row>
        <row r="64">
          <cell r="AF64" t="str">
            <v/>
          </cell>
          <cell r="AG64" t="str">
            <v/>
          </cell>
          <cell r="AH64">
            <v>0</v>
          </cell>
          <cell r="AI64">
            <v>0</v>
          </cell>
          <cell r="AJ64" t="e">
            <v>#N/A</v>
          </cell>
          <cell r="AK64" t="e">
            <v>#N/A</v>
          </cell>
          <cell r="AL64" t="e">
            <v>#N/A</v>
          </cell>
          <cell r="AM64" t="str">
            <v/>
          </cell>
          <cell r="AN64">
            <v>0</v>
          </cell>
          <cell r="AO64" t="str">
            <v/>
          </cell>
          <cell r="AP64">
            <v>0</v>
          </cell>
          <cell r="AQ64" t="str">
            <v/>
          </cell>
          <cell r="AR64">
            <v>0</v>
          </cell>
          <cell r="AS64" t="str">
            <v/>
          </cell>
          <cell r="AT64" t="str">
            <v/>
          </cell>
          <cell r="AU64">
            <v>0</v>
          </cell>
          <cell r="AV64" t="e">
            <v>#N/A</v>
          </cell>
          <cell r="AW64" t="e">
            <v>#N/A</v>
          </cell>
          <cell r="AX64" t="e">
            <v>#N/A</v>
          </cell>
          <cell r="AY64" t="str">
            <v/>
          </cell>
          <cell r="AZ64">
            <v>0</v>
          </cell>
          <cell r="BA64" t="str">
            <v/>
          </cell>
          <cell r="BB64">
            <v>0</v>
          </cell>
          <cell r="BC64" t="str">
            <v/>
          </cell>
        </row>
        <row r="65">
          <cell r="AF65" t="str">
            <v/>
          </cell>
          <cell r="AG65" t="str">
            <v/>
          </cell>
          <cell r="AH65">
            <v>0</v>
          </cell>
          <cell r="AI65">
            <v>0</v>
          </cell>
          <cell r="AJ65" t="e">
            <v>#N/A</v>
          </cell>
          <cell r="AK65" t="e">
            <v>#N/A</v>
          </cell>
          <cell r="AL65" t="e">
            <v>#N/A</v>
          </cell>
          <cell r="AM65" t="str">
            <v/>
          </cell>
          <cell r="AN65">
            <v>0</v>
          </cell>
          <cell r="AO65" t="str">
            <v/>
          </cell>
          <cell r="AP65">
            <v>0</v>
          </cell>
          <cell r="AQ65" t="str">
            <v/>
          </cell>
          <cell r="AR65">
            <v>0</v>
          </cell>
          <cell r="AS65" t="str">
            <v/>
          </cell>
          <cell r="AT65" t="str">
            <v/>
          </cell>
          <cell r="AU65">
            <v>0</v>
          </cell>
          <cell r="AV65" t="e">
            <v>#N/A</v>
          </cell>
          <cell r="AW65" t="e">
            <v>#N/A</v>
          </cell>
          <cell r="AX65" t="e">
            <v>#N/A</v>
          </cell>
          <cell r="AY65" t="str">
            <v/>
          </cell>
          <cell r="AZ65">
            <v>0</v>
          </cell>
          <cell r="BA65" t="str">
            <v/>
          </cell>
          <cell r="BB65">
            <v>0</v>
          </cell>
          <cell r="BC65" t="str">
            <v/>
          </cell>
        </row>
        <row r="66">
          <cell r="AF66" t="str">
            <v/>
          </cell>
          <cell r="AG66" t="str">
            <v/>
          </cell>
          <cell r="AH66">
            <v>0</v>
          </cell>
          <cell r="AI66">
            <v>0</v>
          </cell>
          <cell r="AJ66" t="e">
            <v>#N/A</v>
          </cell>
          <cell r="AK66" t="e">
            <v>#N/A</v>
          </cell>
          <cell r="AL66" t="e">
            <v>#N/A</v>
          </cell>
          <cell r="AM66" t="str">
            <v/>
          </cell>
          <cell r="AN66">
            <v>0</v>
          </cell>
          <cell r="AO66" t="str">
            <v/>
          </cell>
          <cell r="AP66">
            <v>0</v>
          </cell>
          <cell r="AQ66" t="str">
            <v/>
          </cell>
          <cell r="AR66">
            <v>0</v>
          </cell>
          <cell r="AS66" t="str">
            <v/>
          </cell>
          <cell r="AT66" t="str">
            <v/>
          </cell>
          <cell r="AU66">
            <v>0</v>
          </cell>
          <cell r="AV66" t="e">
            <v>#N/A</v>
          </cell>
          <cell r="AW66" t="e">
            <v>#N/A</v>
          </cell>
          <cell r="AX66" t="e">
            <v>#N/A</v>
          </cell>
          <cell r="AY66" t="str">
            <v/>
          </cell>
          <cell r="AZ66">
            <v>0</v>
          </cell>
          <cell r="BA66" t="str">
            <v/>
          </cell>
          <cell r="BB66">
            <v>0</v>
          </cell>
          <cell r="BC66" t="str">
            <v/>
          </cell>
        </row>
        <row r="67">
          <cell r="AF67" t="str">
            <v/>
          </cell>
          <cell r="AG67" t="str">
            <v/>
          </cell>
          <cell r="AH67">
            <v>0</v>
          </cell>
          <cell r="AI67">
            <v>0</v>
          </cell>
          <cell r="AJ67" t="e">
            <v>#N/A</v>
          </cell>
          <cell r="AK67" t="e">
            <v>#N/A</v>
          </cell>
          <cell r="AL67" t="e">
            <v>#N/A</v>
          </cell>
          <cell r="AM67" t="str">
            <v/>
          </cell>
          <cell r="AN67">
            <v>0</v>
          </cell>
          <cell r="AO67" t="str">
            <v/>
          </cell>
          <cell r="AP67">
            <v>0</v>
          </cell>
          <cell r="AQ67" t="str">
            <v/>
          </cell>
          <cell r="AR67">
            <v>0</v>
          </cell>
          <cell r="AS67" t="str">
            <v/>
          </cell>
          <cell r="AT67" t="str">
            <v/>
          </cell>
          <cell r="AU67">
            <v>0</v>
          </cell>
          <cell r="AV67" t="e">
            <v>#N/A</v>
          </cell>
          <cell r="AW67" t="e">
            <v>#N/A</v>
          </cell>
          <cell r="AX67" t="e">
            <v>#N/A</v>
          </cell>
          <cell r="AY67" t="str">
            <v/>
          </cell>
          <cell r="AZ67">
            <v>0</v>
          </cell>
          <cell r="BA67" t="str">
            <v/>
          </cell>
          <cell r="BB67">
            <v>0</v>
          </cell>
          <cell r="BC67" t="str">
            <v/>
          </cell>
        </row>
        <row r="68">
          <cell r="AF68" t="str">
            <v/>
          </cell>
          <cell r="AG68" t="str">
            <v/>
          </cell>
          <cell r="AH68">
            <v>0</v>
          </cell>
          <cell r="AI68">
            <v>0</v>
          </cell>
          <cell r="AJ68" t="e">
            <v>#N/A</v>
          </cell>
          <cell r="AK68" t="e">
            <v>#N/A</v>
          </cell>
          <cell r="AL68" t="e">
            <v>#N/A</v>
          </cell>
          <cell r="AM68" t="str">
            <v/>
          </cell>
          <cell r="AN68">
            <v>0</v>
          </cell>
          <cell r="AO68" t="str">
            <v/>
          </cell>
          <cell r="AP68">
            <v>0</v>
          </cell>
          <cell r="AQ68" t="str">
            <v/>
          </cell>
          <cell r="AR68">
            <v>0</v>
          </cell>
          <cell r="AS68" t="str">
            <v/>
          </cell>
          <cell r="AT68" t="str">
            <v/>
          </cell>
          <cell r="AU68">
            <v>0</v>
          </cell>
          <cell r="AV68" t="e">
            <v>#N/A</v>
          </cell>
          <cell r="AW68" t="e">
            <v>#N/A</v>
          </cell>
          <cell r="AX68" t="e">
            <v>#N/A</v>
          </cell>
          <cell r="AY68" t="str">
            <v/>
          </cell>
          <cell r="AZ68">
            <v>0</v>
          </cell>
          <cell r="BA68" t="str">
            <v/>
          </cell>
          <cell r="BB68">
            <v>0</v>
          </cell>
          <cell r="BC68" t="str">
            <v/>
          </cell>
        </row>
        <row r="69">
          <cell r="AF69" t="str">
            <v/>
          </cell>
          <cell r="AG69" t="str">
            <v/>
          </cell>
          <cell r="AH69">
            <v>0</v>
          </cell>
          <cell r="AI69">
            <v>0</v>
          </cell>
          <cell r="AJ69" t="e">
            <v>#N/A</v>
          </cell>
          <cell r="AK69" t="e">
            <v>#N/A</v>
          </cell>
          <cell r="AL69" t="e">
            <v>#N/A</v>
          </cell>
          <cell r="AM69" t="str">
            <v/>
          </cell>
          <cell r="AN69">
            <v>0</v>
          </cell>
          <cell r="AO69" t="str">
            <v/>
          </cell>
          <cell r="AP69">
            <v>0</v>
          </cell>
          <cell r="AQ69" t="str">
            <v/>
          </cell>
          <cell r="AR69">
            <v>0</v>
          </cell>
          <cell r="AS69" t="str">
            <v/>
          </cell>
          <cell r="AT69" t="str">
            <v/>
          </cell>
          <cell r="AU69">
            <v>0</v>
          </cell>
          <cell r="AV69" t="e">
            <v>#N/A</v>
          </cell>
          <cell r="AW69" t="e">
            <v>#N/A</v>
          </cell>
          <cell r="AX69" t="e">
            <v>#N/A</v>
          </cell>
          <cell r="AY69" t="str">
            <v/>
          </cell>
          <cell r="AZ69">
            <v>0</v>
          </cell>
          <cell r="BA69" t="str">
            <v/>
          </cell>
          <cell r="BB69">
            <v>0</v>
          </cell>
          <cell r="BC69" t="str">
            <v/>
          </cell>
        </row>
        <row r="70">
          <cell r="AF70" t="str">
            <v/>
          </cell>
          <cell r="AG70" t="str">
            <v/>
          </cell>
          <cell r="AH70">
            <v>0</v>
          </cell>
          <cell r="AI70">
            <v>0</v>
          </cell>
          <cell r="AJ70" t="e">
            <v>#N/A</v>
          </cell>
          <cell r="AK70" t="e">
            <v>#N/A</v>
          </cell>
          <cell r="AL70" t="e">
            <v>#N/A</v>
          </cell>
          <cell r="AM70" t="str">
            <v/>
          </cell>
          <cell r="AN70">
            <v>0</v>
          </cell>
          <cell r="AO70" t="str">
            <v/>
          </cell>
          <cell r="AP70">
            <v>0</v>
          </cell>
          <cell r="AQ70" t="str">
            <v/>
          </cell>
          <cell r="AR70">
            <v>0</v>
          </cell>
          <cell r="AS70" t="str">
            <v/>
          </cell>
          <cell r="AT70" t="str">
            <v/>
          </cell>
          <cell r="AU70">
            <v>0</v>
          </cell>
          <cell r="AV70" t="e">
            <v>#N/A</v>
          </cell>
          <cell r="AW70" t="e">
            <v>#N/A</v>
          </cell>
          <cell r="AX70" t="e">
            <v>#N/A</v>
          </cell>
          <cell r="AY70" t="str">
            <v/>
          </cell>
          <cell r="AZ70">
            <v>0</v>
          </cell>
          <cell r="BA70" t="str">
            <v/>
          </cell>
          <cell r="BB70">
            <v>0</v>
          </cell>
          <cell r="BC70" t="str">
            <v/>
          </cell>
        </row>
        <row r="71">
          <cell r="AF71" t="str">
            <v/>
          </cell>
          <cell r="AG71" t="str">
            <v/>
          </cell>
          <cell r="AH71">
            <v>0</v>
          </cell>
          <cell r="AI71">
            <v>0</v>
          </cell>
          <cell r="AJ71" t="e">
            <v>#N/A</v>
          </cell>
          <cell r="AK71" t="e">
            <v>#N/A</v>
          </cell>
          <cell r="AL71" t="e">
            <v>#N/A</v>
          </cell>
          <cell r="AM71" t="str">
            <v/>
          </cell>
          <cell r="AN71">
            <v>0</v>
          </cell>
          <cell r="AO71" t="str">
            <v/>
          </cell>
          <cell r="AP71">
            <v>0</v>
          </cell>
          <cell r="AQ71" t="str">
            <v/>
          </cell>
          <cell r="AR71">
            <v>0</v>
          </cell>
          <cell r="AS71" t="str">
            <v/>
          </cell>
          <cell r="AT71" t="str">
            <v/>
          </cell>
          <cell r="AU71">
            <v>0</v>
          </cell>
          <cell r="AV71" t="e">
            <v>#N/A</v>
          </cell>
          <cell r="AW71" t="e">
            <v>#N/A</v>
          </cell>
          <cell r="AX71" t="e">
            <v>#N/A</v>
          </cell>
          <cell r="AY71" t="str">
            <v/>
          </cell>
          <cell r="AZ71">
            <v>0</v>
          </cell>
          <cell r="BA71" t="str">
            <v/>
          </cell>
          <cell r="BB71">
            <v>0</v>
          </cell>
          <cell r="BC71" t="str">
            <v/>
          </cell>
        </row>
        <row r="72">
          <cell r="AF72" t="str">
            <v/>
          </cell>
          <cell r="AG72" t="str">
            <v/>
          </cell>
          <cell r="AH72">
            <v>0</v>
          </cell>
          <cell r="AI72">
            <v>0</v>
          </cell>
          <cell r="AJ72" t="e">
            <v>#N/A</v>
          </cell>
          <cell r="AK72" t="e">
            <v>#N/A</v>
          </cell>
          <cell r="AL72" t="e">
            <v>#N/A</v>
          </cell>
          <cell r="AM72" t="str">
            <v/>
          </cell>
          <cell r="AN72">
            <v>0</v>
          </cell>
          <cell r="AO72" t="str">
            <v/>
          </cell>
          <cell r="AP72">
            <v>0</v>
          </cell>
          <cell r="AQ72" t="str">
            <v/>
          </cell>
          <cell r="AR72">
            <v>0</v>
          </cell>
          <cell r="AS72" t="str">
            <v/>
          </cell>
          <cell r="AT72" t="str">
            <v/>
          </cell>
          <cell r="AU72">
            <v>0</v>
          </cell>
          <cell r="AV72" t="e">
            <v>#N/A</v>
          </cell>
          <cell r="AW72" t="e">
            <v>#N/A</v>
          </cell>
          <cell r="AX72" t="e">
            <v>#N/A</v>
          </cell>
          <cell r="AY72" t="str">
            <v/>
          </cell>
          <cell r="AZ72">
            <v>0</v>
          </cell>
          <cell r="BA72" t="str">
            <v/>
          </cell>
          <cell r="BB72">
            <v>0</v>
          </cell>
          <cell r="BC72" t="str">
            <v/>
          </cell>
        </row>
        <row r="73">
          <cell r="AF73" t="str">
            <v/>
          </cell>
          <cell r="AG73" t="str">
            <v/>
          </cell>
          <cell r="AH73">
            <v>0</v>
          </cell>
          <cell r="AI73">
            <v>0</v>
          </cell>
          <cell r="AJ73" t="e">
            <v>#N/A</v>
          </cell>
          <cell r="AK73" t="e">
            <v>#N/A</v>
          </cell>
          <cell r="AL73" t="e">
            <v>#N/A</v>
          </cell>
          <cell r="AM73" t="str">
            <v/>
          </cell>
          <cell r="AN73">
            <v>0</v>
          </cell>
          <cell r="AO73" t="str">
            <v/>
          </cell>
          <cell r="AP73">
            <v>0</v>
          </cell>
          <cell r="AQ73" t="str">
            <v/>
          </cell>
          <cell r="AR73">
            <v>0</v>
          </cell>
          <cell r="AS73" t="str">
            <v/>
          </cell>
          <cell r="AT73" t="str">
            <v/>
          </cell>
          <cell r="AU73">
            <v>0</v>
          </cell>
          <cell r="AV73" t="e">
            <v>#N/A</v>
          </cell>
          <cell r="AW73" t="e">
            <v>#N/A</v>
          </cell>
          <cell r="AX73" t="e">
            <v>#N/A</v>
          </cell>
          <cell r="AY73" t="str">
            <v/>
          </cell>
          <cell r="AZ73">
            <v>0</v>
          </cell>
          <cell r="BA73" t="str">
            <v/>
          </cell>
          <cell r="BB73">
            <v>0</v>
          </cell>
          <cell r="BC73" t="str">
            <v/>
          </cell>
        </row>
        <row r="74">
          <cell r="AF74" t="str">
            <v/>
          </cell>
          <cell r="AG74" t="str">
            <v/>
          </cell>
          <cell r="AH74">
            <v>0</v>
          </cell>
          <cell r="AI74">
            <v>0</v>
          </cell>
          <cell r="AJ74" t="e">
            <v>#N/A</v>
          </cell>
          <cell r="AK74" t="e">
            <v>#N/A</v>
          </cell>
          <cell r="AL74" t="e">
            <v>#N/A</v>
          </cell>
          <cell r="AM74" t="str">
            <v/>
          </cell>
          <cell r="AN74">
            <v>0</v>
          </cell>
          <cell r="AO74" t="str">
            <v/>
          </cell>
          <cell r="AP74">
            <v>0</v>
          </cell>
          <cell r="AQ74" t="str">
            <v/>
          </cell>
          <cell r="AR74">
            <v>0</v>
          </cell>
          <cell r="AS74" t="str">
            <v/>
          </cell>
          <cell r="AT74" t="str">
            <v/>
          </cell>
          <cell r="AU74">
            <v>0</v>
          </cell>
          <cell r="AV74" t="e">
            <v>#N/A</v>
          </cell>
          <cell r="AW74" t="e">
            <v>#N/A</v>
          </cell>
          <cell r="AX74" t="e">
            <v>#N/A</v>
          </cell>
          <cell r="AY74" t="str">
            <v/>
          </cell>
          <cell r="AZ74">
            <v>0</v>
          </cell>
          <cell r="BA74" t="str">
            <v/>
          </cell>
          <cell r="BB74">
            <v>0</v>
          </cell>
          <cell r="BC74" t="str">
            <v/>
          </cell>
        </row>
        <row r="75">
          <cell r="AF75" t="str">
            <v/>
          </cell>
          <cell r="AG75" t="str">
            <v/>
          </cell>
          <cell r="AH75">
            <v>0</v>
          </cell>
          <cell r="AI75">
            <v>0</v>
          </cell>
          <cell r="AJ75" t="e">
            <v>#N/A</v>
          </cell>
          <cell r="AK75" t="e">
            <v>#N/A</v>
          </cell>
          <cell r="AL75" t="e">
            <v>#N/A</v>
          </cell>
          <cell r="AM75" t="str">
            <v/>
          </cell>
          <cell r="AN75">
            <v>0</v>
          </cell>
          <cell r="AO75" t="str">
            <v/>
          </cell>
          <cell r="AP75">
            <v>0</v>
          </cell>
          <cell r="AQ75" t="str">
            <v/>
          </cell>
          <cell r="AR75">
            <v>0</v>
          </cell>
          <cell r="AS75" t="str">
            <v/>
          </cell>
          <cell r="AT75" t="str">
            <v/>
          </cell>
          <cell r="AU75">
            <v>0</v>
          </cell>
          <cell r="AV75" t="e">
            <v>#N/A</v>
          </cell>
          <cell r="AW75" t="e">
            <v>#N/A</v>
          </cell>
          <cell r="AX75" t="e">
            <v>#N/A</v>
          </cell>
          <cell r="AY75" t="str">
            <v/>
          </cell>
          <cell r="AZ75">
            <v>0</v>
          </cell>
          <cell r="BA75" t="str">
            <v/>
          </cell>
          <cell r="BB75">
            <v>0</v>
          </cell>
          <cell r="BC75" t="str">
            <v/>
          </cell>
        </row>
        <row r="76">
          <cell r="AF76" t="str">
            <v/>
          </cell>
          <cell r="AG76" t="str">
            <v/>
          </cell>
          <cell r="AH76">
            <v>0</v>
          </cell>
          <cell r="AI76">
            <v>0</v>
          </cell>
          <cell r="AJ76" t="e">
            <v>#N/A</v>
          </cell>
          <cell r="AK76" t="e">
            <v>#N/A</v>
          </cell>
          <cell r="AL76" t="e">
            <v>#N/A</v>
          </cell>
          <cell r="AM76" t="str">
            <v/>
          </cell>
          <cell r="AN76">
            <v>0</v>
          </cell>
          <cell r="AO76" t="str">
            <v/>
          </cell>
          <cell r="AP76">
            <v>0</v>
          </cell>
          <cell r="AQ76" t="str">
            <v/>
          </cell>
          <cell r="AR76">
            <v>0</v>
          </cell>
          <cell r="AS76" t="str">
            <v/>
          </cell>
          <cell r="AT76" t="str">
            <v/>
          </cell>
          <cell r="AU76">
            <v>0</v>
          </cell>
          <cell r="AV76" t="e">
            <v>#N/A</v>
          </cell>
          <cell r="AW76" t="e">
            <v>#N/A</v>
          </cell>
          <cell r="AX76" t="e">
            <v>#N/A</v>
          </cell>
          <cell r="AY76" t="str">
            <v/>
          </cell>
          <cell r="AZ76">
            <v>0</v>
          </cell>
          <cell r="BA76" t="str">
            <v/>
          </cell>
          <cell r="BB76">
            <v>0</v>
          </cell>
          <cell r="BC76" t="str">
            <v/>
          </cell>
        </row>
        <row r="77">
          <cell r="AF77" t="str">
            <v/>
          </cell>
          <cell r="AG77" t="str">
            <v/>
          </cell>
          <cell r="AH77">
            <v>0</v>
          </cell>
          <cell r="AI77">
            <v>0</v>
          </cell>
          <cell r="AJ77" t="e">
            <v>#N/A</v>
          </cell>
          <cell r="AK77" t="e">
            <v>#N/A</v>
          </cell>
          <cell r="AL77" t="e">
            <v>#N/A</v>
          </cell>
          <cell r="AM77" t="str">
            <v/>
          </cell>
          <cell r="AN77">
            <v>0</v>
          </cell>
          <cell r="AO77" t="str">
            <v/>
          </cell>
          <cell r="AP77">
            <v>0</v>
          </cell>
          <cell r="AQ77" t="str">
            <v/>
          </cell>
          <cell r="AR77">
            <v>0</v>
          </cell>
          <cell r="AS77" t="str">
            <v/>
          </cell>
          <cell r="AT77" t="str">
            <v/>
          </cell>
          <cell r="AU77">
            <v>0</v>
          </cell>
          <cell r="AV77" t="e">
            <v>#N/A</v>
          </cell>
          <cell r="AW77" t="e">
            <v>#N/A</v>
          </cell>
          <cell r="AX77" t="e">
            <v>#N/A</v>
          </cell>
          <cell r="AY77" t="str">
            <v/>
          </cell>
          <cell r="AZ77">
            <v>0</v>
          </cell>
          <cell r="BA77" t="str">
            <v/>
          </cell>
          <cell r="BB77">
            <v>0</v>
          </cell>
          <cell r="BC77" t="str">
            <v/>
          </cell>
        </row>
        <row r="78">
          <cell r="AF78" t="str">
            <v/>
          </cell>
          <cell r="AG78" t="str">
            <v/>
          </cell>
          <cell r="AH78">
            <v>0</v>
          </cell>
          <cell r="AI78">
            <v>0</v>
          </cell>
          <cell r="AJ78" t="e">
            <v>#N/A</v>
          </cell>
          <cell r="AK78" t="e">
            <v>#N/A</v>
          </cell>
          <cell r="AL78" t="e">
            <v>#N/A</v>
          </cell>
          <cell r="AM78" t="str">
            <v/>
          </cell>
          <cell r="AN78">
            <v>0</v>
          </cell>
          <cell r="AO78" t="str">
            <v/>
          </cell>
          <cell r="AP78">
            <v>0</v>
          </cell>
          <cell r="AQ78" t="str">
            <v/>
          </cell>
          <cell r="AR78">
            <v>0</v>
          </cell>
          <cell r="AS78" t="str">
            <v/>
          </cell>
          <cell r="AT78" t="str">
            <v/>
          </cell>
          <cell r="AU78">
            <v>0</v>
          </cell>
          <cell r="AV78" t="e">
            <v>#N/A</v>
          </cell>
          <cell r="AW78" t="e">
            <v>#N/A</v>
          </cell>
          <cell r="AX78" t="e">
            <v>#N/A</v>
          </cell>
          <cell r="AY78" t="str">
            <v/>
          </cell>
          <cell r="AZ78">
            <v>0</v>
          </cell>
          <cell r="BA78" t="str">
            <v/>
          </cell>
          <cell r="BB78">
            <v>0</v>
          </cell>
          <cell r="BC78" t="str">
            <v/>
          </cell>
        </row>
        <row r="79">
          <cell r="AF79" t="str">
            <v/>
          </cell>
          <cell r="AG79" t="str">
            <v/>
          </cell>
          <cell r="AH79">
            <v>0</v>
          </cell>
          <cell r="AI79">
            <v>0</v>
          </cell>
          <cell r="AJ79" t="e">
            <v>#N/A</v>
          </cell>
          <cell r="AK79" t="e">
            <v>#N/A</v>
          </cell>
          <cell r="AL79" t="e">
            <v>#N/A</v>
          </cell>
          <cell r="AM79" t="str">
            <v/>
          </cell>
          <cell r="AN79">
            <v>0</v>
          </cell>
          <cell r="AO79" t="str">
            <v/>
          </cell>
          <cell r="AP79">
            <v>0</v>
          </cell>
          <cell r="AQ79" t="str">
            <v/>
          </cell>
          <cell r="AR79">
            <v>0</v>
          </cell>
          <cell r="AS79" t="str">
            <v/>
          </cell>
          <cell r="AT79" t="str">
            <v/>
          </cell>
          <cell r="AU79">
            <v>0</v>
          </cell>
          <cell r="AV79" t="e">
            <v>#N/A</v>
          </cell>
          <cell r="AW79" t="e">
            <v>#N/A</v>
          </cell>
          <cell r="AX79" t="e">
            <v>#N/A</v>
          </cell>
          <cell r="AY79" t="str">
            <v/>
          </cell>
          <cell r="AZ79">
            <v>0</v>
          </cell>
          <cell r="BA79" t="str">
            <v/>
          </cell>
          <cell r="BB79">
            <v>0</v>
          </cell>
          <cell r="BC79" t="str">
            <v/>
          </cell>
        </row>
        <row r="80">
          <cell r="AF80" t="str">
            <v/>
          </cell>
          <cell r="AG80" t="str">
            <v/>
          </cell>
          <cell r="AH80">
            <v>0</v>
          </cell>
          <cell r="AI80">
            <v>0</v>
          </cell>
          <cell r="AJ80" t="e">
            <v>#N/A</v>
          </cell>
          <cell r="AK80" t="e">
            <v>#N/A</v>
          </cell>
          <cell r="AL80" t="e">
            <v>#N/A</v>
          </cell>
          <cell r="AM80" t="str">
            <v/>
          </cell>
          <cell r="AN80">
            <v>0</v>
          </cell>
          <cell r="AO80" t="str">
            <v/>
          </cell>
          <cell r="AP80">
            <v>0</v>
          </cell>
          <cell r="AQ80" t="str">
            <v/>
          </cell>
          <cell r="AR80">
            <v>0</v>
          </cell>
          <cell r="AS80" t="str">
            <v/>
          </cell>
          <cell r="AT80" t="str">
            <v/>
          </cell>
          <cell r="AU80">
            <v>0</v>
          </cell>
          <cell r="AV80" t="e">
            <v>#N/A</v>
          </cell>
          <cell r="AW80" t="e">
            <v>#N/A</v>
          </cell>
          <cell r="AX80" t="e">
            <v>#N/A</v>
          </cell>
          <cell r="AY80" t="str">
            <v/>
          </cell>
          <cell r="AZ80">
            <v>0</v>
          </cell>
          <cell r="BA80" t="str">
            <v/>
          </cell>
          <cell r="BB80">
            <v>0</v>
          </cell>
          <cell r="BC80" t="str">
            <v/>
          </cell>
        </row>
        <row r="81">
          <cell r="AF81" t="str">
            <v/>
          </cell>
          <cell r="AG81" t="str">
            <v/>
          </cell>
          <cell r="AH81">
            <v>0</v>
          </cell>
          <cell r="AI81">
            <v>0</v>
          </cell>
          <cell r="AJ81" t="e">
            <v>#N/A</v>
          </cell>
          <cell r="AK81" t="e">
            <v>#N/A</v>
          </cell>
          <cell r="AL81" t="e">
            <v>#N/A</v>
          </cell>
          <cell r="AM81" t="str">
            <v/>
          </cell>
          <cell r="AN81">
            <v>0</v>
          </cell>
          <cell r="AO81" t="str">
            <v/>
          </cell>
          <cell r="AP81">
            <v>0</v>
          </cell>
          <cell r="AQ81" t="str">
            <v/>
          </cell>
          <cell r="AR81">
            <v>0</v>
          </cell>
          <cell r="AS81" t="str">
            <v/>
          </cell>
          <cell r="AT81" t="str">
            <v/>
          </cell>
          <cell r="AU81">
            <v>0</v>
          </cell>
          <cell r="AV81" t="e">
            <v>#N/A</v>
          </cell>
          <cell r="AW81" t="e">
            <v>#N/A</v>
          </cell>
          <cell r="AX81" t="e">
            <v>#N/A</v>
          </cell>
          <cell r="AY81" t="str">
            <v/>
          </cell>
          <cell r="AZ81">
            <v>0</v>
          </cell>
          <cell r="BA81" t="str">
            <v/>
          </cell>
          <cell r="BB81">
            <v>0</v>
          </cell>
          <cell r="BC81" t="str">
            <v/>
          </cell>
        </row>
        <row r="82">
          <cell r="AF82" t="str">
            <v/>
          </cell>
          <cell r="AG82" t="str">
            <v/>
          </cell>
          <cell r="AH82">
            <v>0</v>
          </cell>
          <cell r="AI82">
            <v>0</v>
          </cell>
          <cell r="AJ82" t="e">
            <v>#N/A</v>
          </cell>
          <cell r="AK82" t="e">
            <v>#N/A</v>
          </cell>
          <cell r="AL82" t="e">
            <v>#N/A</v>
          </cell>
          <cell r="AM82" t="str">
            <v/>
          </cell>
          <cell r="AN82">
            <v>0</v>
          </cell>
          <cell r="AO82" t="str">
            <v/>
          </cell>
          <cell r="AP82">
            <v>0</v>
          </cell>
          <cell r="AQ82" t="str">
            <v/>
          </cell>
          <cell r="AR82">
            <v>0</v>
          </cell>
          <cell r="AS82" t="str">
            <v/>
          </cell>
          <cell r="AT82" t="str">
            <v/>
          </cell>
          <cell r="AU82">
            <v>0</v>
          </cell>
          <cell r="AV82" t="e">
            <v>#N/A</v>
          </cell>
          <cell r="AW82" t="e">
            <v>#N/A</v>
          </cell>
          <cell r="AX82" t="e">
            <v>#N/A</v>
          </cell>
          <cell r="AY82" t="str">
            <v/>
          </cell>
          <cell r="AZ82">
            <v>0</v>
          </cell>
          <cell r="BA82" t="str">
            <v/>
          </cell>
          <cell r="BB82">
            <v>0</v>
          </cell>
          <cell r="BC82" t="str">
            <v/>
          </cell>
        </row>
        <row r="83">
          <cell r="AF83" t="str">
            <v/>
          </cell>
          <cell r="AG83" t="str">
            <v/>
          </cell>
          <cell r="AH83">
            <v>0</v>
          </cell>
          <cell r="AI83">
            <v>0</v>
          </cell>
          <cell r="AJ83" t="e">
            <v>#N/A</v>
          </cell>
          <cell r="AK83" t="e">
            <v>#N/A</v>
          </cell>
          <cell r="AL83" t="e">
            <v>#N/A</v>
          </cell>
          <cell r="AM83" t="str">
            <v/>
          </cell>
          <cell r="AN83">
            <v>0</v>
          </cell>
          <cell r="AO83" t="str">
            <v/>
          </cell>
          <cell r="AP83">
            <v>0</v>
          </cell>
          <cell r="AQ83" t="str">
            <v/>
          </cell>
          <cell r="AR83">
            <v>0</v>
          </cell>
          <cell r="AS83" t="str">
            <v/>
          </cell>
          <cell r="AT83" t="str">
            <v/>
          </cell>
          <cell r="AU83">
            <v>0</v>
          </cell>
          <cell r="AV83" t="e">
            <v>#N/A</v>
          </cell>
          <cell r="AW83" t="e">
            <v>#N/A</v>
          </cell>
          <cell r="AX83" t="e">
            <v>#N/A</v>
          </cell>
          <cell r="AY83" t="str">
            <v/>
          </cell>
          <cell r="AZ83">
            <v>0</v>
          </cell>
          <cell r="BA83" t="str">
            <v/>
          </cell>
          <cell r="BB83">
            <v>0</v>
          </cell>
          <cell r="BC83" t="str">
            <v/>
          </cell>
        </row>
        <row r="84">
          <cell r="AF84" t="str">
            <v/>
          </cell>
          <cell r="AG84" t="str">
            <v/>
          </cell>
          <cell r="AH84">
            <v>0</v>
          </cell>
          <cell r="AI84">
            <v>0</v>
          </cell>
          <cell r="AJ84" t="e">
            <v>#N/A</v>
          </cell>
          <cell r="AK84" t="e">
            <v>#N/A</v>
          </cell>
          <cell r="AL84" t="e">
            <v>#N/A</v>
          </cell>
          <cell r="AM84" t="str">
            <v/>
          </cell>
          <cell r="AN84">
            <v>0</v>
          </cell>
          <cell r="AO84" t="str">
            <v/>
          </cell>
          <cell r="AP84">
            <v>0</v>
          </cell>
          <cell r="AQ84" t="str">
            <v/>
          </cell>
          <cell r="AR84">
            <v>0</v>
          </cell>
          <cell r="AS84" t="str">
            <v/>
          </cell>
          <cell r="AT84" t="str">
            <v/>
          </cell>
          <cell r="AU84">
            <v>0</v>
          </cell>
          <cell r="AV84" t="e">
            <v>#N/A</v>
          </cell>
          <cell r="AW84" t="e">
            <v>#N/A</v>
          </cell>
          <cell r="AX84" t="e">
            <v>#N/A</v>
          </cell>
          <cell r="AY84" t="str">
            <v/>
          </cell>
          <cell r="AZ84">
            <v>0</v>
          </cell>
          <cell r="BA84" t="str">
            <v/>
          </cell>
          <cell r="BB84">
            <v>0</v>
          </cell>
          <cell r="BC84" t="str">
            <v/>
          </cell>
        </row>
        <row r="85">
          <cell r="AF85" t="str">
            <v/>
          </cell>
          <cell r="AG85" t="str">
            <v/>
          </cell>
          <cell r="AH85">
            <v>0</v>
          </cell>
          <cell r="AI85">
            <v>0</v>
          </cell>
          <cell r="AJ85" t="e">
            <v>#N/A</v>
          </cell>
          <cell r="AK85" t="e">
            <v>#N/A</v>
          </cell>
          <cell r="AL85" t="e">
            <v>#N/A</v>
          </cell>
          <cell r="AM85" t="str">
            <v/>
          </cell>
          <cell r="AN85">
            <v>0</v>
          </cell>
          <cell r="AO85" t="str">
            <v/>
          </cell>
          <cell r="AP85">
            <v>0</v>
          </cell>
          <cell r="AQ85" t="str">
            <v/>
          </cell>
          <cell r="AR85">
            <v>0</v>
          </cell>
          <cell r="AS85" t="str">
            <v/>
          </cell>
          <cell r="AT85" t="str">
            <v/>
          </cell>
          <cell r="AU85">
            <v>0</v>
          </cell>
          <cell r="AV85" t="e">
            <v>#N/A</v>
          </cell>
          <cell r="AW85" t="e">
            <v>#N/A</v>
          </cell>
          <cell r="AX85" t="e">
            <v>#N/A</v>
          </cell>
          <cell r="AY85" t="str">
            <v/>
          </cell>
          <cell r="AZ85">
            <v>0</v>
          </cell>
          <cell r="BA85" t="str">
            <v/>
          </cell>
          <cell r="BB85">
            <v>0</v>
          </cell>
          <cell r="BC85" t="str">
            <v/>
          </cell>
        </row>
        <row r="86">
          <cell r="AF86" t="str">
            <v/>
          </cell>
          <cell r="AG86" t="str">
            <v/>
          </cell>
          <cell r="AH86">
            <v>0</v>
          </cell>
          <cell r="AI86">
            <v>0</v>
          </cell>
          <cell r="AJ86" t="e">
            <v>#N/A</v>
          </cell>
          <cell r="AK86" t="e">
            <v>#N/A</v>
          </cell>
          <cell r="AL86" t="e">
            <v>#N/A</v>
          </cell>
          <cell r="AM86" t="str">
            <v/>
          </cell>
          <cell r="AN86">
            <v>0</v>
          </cell>
          <cell r="AO86" t="str">
            <v/>
          </cell>
          <cell r="AP86">
            <v>0</v>
          </cell>
          <cell r="AQ86" t="str">
            <v/>
          </cell>
          <cell r="AR86">
            <v>0</v>
          </cell>
          <cell r="AS86" t="str">
            <v/>
          </cell>
          <cell r="AT86" t="str">
            <v/>
          </cell>
          <cell r="AU86">
            <v>0</v>
          </cell>
          <cell r="AV86" t="e">
            <v>#N/A</v>
          </cell>
          <cell r="AW86" t="e">
            <v>#N/A</v>
          </cell>
          <cell r="AX86" t="e">
            <v>#N/A</v>
          </cell>
          <cell r="AY86" t="str">
            <v/>
          </cell>
          <cell r="AZ86">
            <v>0</v>
          </cell>
          <cell r="BA86" t="str">
            <v/>
          </cell>
          <cell r="BB86">
            <v>0</v>
          </cell>
          <cell r="BC86" t="str">
            <v/>
          </cell>
        </row>
        <row r="87">
          <cell r="AF87" t="str">
            <v/>
          </cell>
          <cell r="AG87" t="str">
            <v/>
          </cell>
          <cell r="AH87">
            <v>0</v>
          </cell>
          <cell r="AI87">
            <v>0</v>
          </cell>
          <cell r="AJ87" t="e">
            <v>#N/A</v>
          </cell>
          <cell r="AK87" t="e">
            <v>#N/A</v>
          </cell>
          <cell r="AL87" t="e">
            <v>#N/A</v>
          </cell>
          <cell r="AM87" t="str">
            <v/>
          </cell>
          <cell r="AN87">
            <v>0</v>
          </cell>
          <cell r="AO87" t="str">
            <v/>
          </cell>
          <cell r="AP87">
            <v>0</v>
          </cell>
          <cell r="AQ87" t="str">
            <v/>
          </cell>
          <cell r="AR87">
            <v>0</v>
          </cell>
          <cell r="AS87" t="str">
            <v/>
          </cell>
          <cell r="AT87" t="str">
            <v/>
          </cell>
          <cell r="AU87">
            <v>0</v>
          </cell>
          <cell r="AV87" t="e">
            <v>#N/A</v>
          </cell>
          <cell r="AW87" t="e">
            <v>#N/A</v>
          </cell>
          <cell r="AX87" t="e">
            <v>#N/A</v>
          </cell>
          <cell r="AY87" t="str">
            <v/>
          </cell>
          <cell r="AZ87">
            <v>0</v>
          </cell>
          <cell r="BA87" t="str">
            <v/>
          </cell>
          <cell r="BB87">
            <v>0</v>
          </cell>
          <cell r="BC87" t="str">
            <v/>
          </cell>
        </row>
        <row r="88">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row>
        <row r="89">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row>
        <row r="90">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row>
        <row r="91">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row>
        <row r="92">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row>
        <row r="93">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row>
        <row r="94">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row>
        <row r="95">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row>
        <row r="96">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row>
        <row r="97">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row>
        <row r="98">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row>
        <row r="99">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row>
        <row r="100">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row>
        <row r="101">
          <cell r="AF101" t="str">
            <v>Combustível</v>
          </cell>
          <cell r="AG101" t="str">
            <v>Combustível</v>
          </cell>
          <cell r="AH101" t="str">
            <v>Consumo Fósseis</v>
          </cell>
          <cell r="AI101">
            <v>0</v>
          </cell>
          <cell r="AJ101" t="str">
            <v>EFs Combustíveis Fosseis [Kg/L]</v>
          </cell>
          <cell r="AK101">
            <v>0</v>
          </cell>
          <cell r="AL101">
            <v>0</v>
          </cell>
          <cell r="AM101" t="str">
            <v>Emissões</v>
          </cell>
          <cell r="AN101">
            <v>0</v>
          </cell>
          <cell r="AO101">
            <v>0</v>
          </cell>
          <cell r="AP101">
            <v>0</v>
          </cell>
          <cell r="AQ101">
            <v>0</v>
          </cell>
          <cell r="AR101">
            <v>0</v>
          </cell>
          <cell r="AS101" t="str">
            <v>Combustível</v>
          </cell>
          <cell r="AT101" t="str">
            <v>Consumo não fossil</v>
          </cell>
          <cell r="AU101">
            <v>0</v>
          </cell>
          <cell r="AV101" t="str">
            <v>EFs Combustíveis não fosséis</v>
          </cell>
          <cell r="AW101">
            <v>0</v>
          </cell>
          <cell r="AX101">
            <v>0</v>
          </cell>
          <cell r="AY101" t="str">
            <v>Emissões</v>
          </cell>
          <cell r="AZ101">
            <v>0</v>
          </cell>
          <cell r="BA101">
            <v>0</v>
          </cell>
          <cell r="BB101">
            <v>0</v>
          </cell>
          <cell r="BC101">
            <v>0</v>
          </cell>
        </row>
        <row r="102">
          <cell r="AF102" t="str">
            <v>relatado</v>
          </cell>
          <cell r="AG102" t="str">
            <v>fóssil</v>
          </cell>
          <cell r="AH102">
            <v>0</v>
          </cell>
          <cell r="AI102">
            <v>0</v>
          </cell>
          <cell r="AJ102" t="str">
            <v>CO2</v>
          </cell>
          <cell r="AK102" t="str">
            <v>CH4</v>
          </cell>
          <cell r="AL102" t="str">
            <v>N2O</v>
          </cell>
          <cell r="AM102" t="str">
            <v>CO2</v>
          </cell>
          <cell r="AN102">
            <v>0</v>
          </cell>
          <cell r="AO102" t="str">
            <v>CH4</v>
          </cell>
          <cell r="AP102">
            <v>0</v>
          </cell>
          <cell r="AQ102" t="str">
            <v>N2O</v>
          </cell>
          <cell r="AR102">
            <v>0</v>
          </cell>
          <cell r="AS102" t="str">
            <v>não fóssil</v>
          </cell>
          <cell r="AT102">
            <v>0</v>
          </cell>
          <cell r="AU102">
            <v>0</v>
          </cell>
          <cell r="AV102" t="str">
            <v>CO2</v>
          </cell>
          <cell r="AW102" t="str">
            <v>CH4</v>
          </cell>
          <cell r="AX102" t="str">
            <v>N2O</v>
          </cell>
          <cell r="AY102" t="str">
            <v>CO2</v>
          </cell>
          <cell r="AZ102">
            <v>0</v>
          </cell>
          <cell r="BA102" t="str">
            <v>CH4</v>
          </cell>
          <cell r="BB102">
            <v>0</v>
          </cell>
          <cell r="BC102" t="str">
            <v>N2O</v>
          </cell>
        </row>
        <row r="103">
          <cell r="AF103" t="str">
            <v/>
          </cell>
          <cell r="AG103" t="str">
            <v/>
          </cell>
          <cell r="AH103">
            <v>0</v>
          </cell>
          <cell r="AI103">
            <v>0</v>
          </cell>
          <cell r="AJ103" t="e">
            <v>#N/A</v>
          </cell>
          <cell r="AK103" t="e">
            <v>#N/A</v>
          </cell>
          <cell r="AL103" t="e">
            <v>#N/A</v>
          </cell>
          <cell r="AM103" t="str">
            <v/>
          </cell>
          <cell r="AN103">
            <v>0</v>
          </cell>
          <cell r="AO103" t="str">
            <v/>
          </cell>
          <cell r="AP103">
            <v>0</v>
          </cell>
          <cell r="AQ103" t="str">
            <v/>
          </cell>
          <cell r="AR103">
            <v>0</v>
          </cell>
          <cell r="AS103" t="str">
            <v/>
          </cell>
          <cell r="AT103" t="str">
            <v/>
          </cell>
          <cell r="AU103">
            <v>0</v>
          </cell>
          <cell r="AV103" t="str">
            <v/>
          </cell>
          <cell r="AW103" t="e">
            <v>#N/A</v>
          </cell>
          <cell r="AX103" t="e">
            <v>#N/A</v>
          </cell>
          <cell r="AY103" t="str">
            <v/>
          </cell>
          <cell r="AZ103">
            <v>0</v>
          </cell>
          <cell r="BA103" t="str">
            <v/>
          </cell>
          <cell r="BB103">
            <v>0</v>
          </cell>
          <cell r="BC103" t="str">
            <v/>
          </cell>
        </row>
        <row r="104">
          <cell r="AF104" t="str">
            <v/>
          </cell>
          <cell r="AG104" t="str">
            <v/>
          </cell>
          <cell r="AH104">
            <v>0</v>
          </cell>
          <cell r="AI104">
            <v>0</v>
          </cell>
          <cell r="AJ104" t="e">
            <v>#N/A</v>
          </cell>
          <cell r="AK104" t="e">
            <v>#N/A</v>
          </cell>
          <cell r="AL104" t="e">
            <v>#N/A</v>
          </cell>
          <cell r="AM104" t="str">
            <v/>
          </cell>
          <cell r="AN104">
            <v>0</v>
          </cell>
          <cell r="AO104" t="str">
            <v/>
          </cell>
          <cell r="AP104">
            <v>0</v>
          </cell>
          <cell r="AQ104" t="str">
            <v/>
          </cell>
          <cell r="AR104">
            <v>0</v>
          </cell>
          <cell r="AS104" t="str">
            <v/>
          </cell>
          <cell r="AT104" t="str">
            <v/>
          </cell>
          <cell r="AU104">
            <v>0</v>
          </cell>
          <cell r="AV104" t="str">
            <v/>
          </cell>
          <cell r="AW104" t="e">
            <v>#N/A</v>
          </cell>
          <cell r="AX104" t="e">
            <v>#N/A</v>
          </cell>
          <cell r="AY104" t="str">
            <v/>
          </cell>
          <cell r="AZ104">
            <v>0</v>
          </cell>
          <cell r="BA104" t="str">
            <v/>
          </cell>
          <cell r="BB104">
            <v>0</v>
          </cell>
          <cell r="BC104" t="str">
            <v/>
          </cell>
        </row>
        <row r="105">
          <cell r="AF105" t="str">
            <v/>
          </cell>
          <cell r="AG105" t="str">
            <v/>
          </cell>
          <cell r="AH105">
            <v>0</v>
          </cell>
          <cell r="AI105">
            <v>0</v>
          </cell>
          <cell r="AJ105" t="e">
            <v>#N/A</v>
          </cell>
          <cell r="AK105" t="e">
            <v>#N/A</v>
          </cell>
          <cell r="AL105" t="e">
            <v>#N/A</v>
          </cell>
          <cell r="AM105" t="str">
            <v/>
          </cell>
          <cell r="AN105">
            <v>0</v>
          </cell>
          <cell r="AO105" t="str">
            <v/>
          </cell>
          <cell r="AP105">
            <v>0</v>
          </cell>
          <cell r="AQ105" t="str">
            <v/>
          </cell>
          <cell r="AR105">
            <v>0</v>
          </cell>
          <cell r="AS105" t="str">
            <v/>
          </cell>
          <cell r="AT105" t="str">
            <v/>
          </cell>
          <cell r="AU105">
            <v>0</v>
          </cell>
          <cell r="AV105" t="str">
            <v/>
          </cell>
          <cell r="AW105" t="e">
            <v>#N/A</v>
          </cell>
          <cell r="AX105" t="e">
            <v>#N/A</v>
          </cell>
          <cell r="AY105" t="str">
            <v/>
          </cell>
          <cell r="AZ105">
            <v>0</v>
          </cell>
          <cell r="BA105" t="str">
            <v/>
          </cell>
          <cell r="BB105">
            <v>0</v>
          </cell>
          <cell r="BC105" t="str">
            <v/>
          </cell>
        </row>
        <row r="106">
          <cell r="AF106" t="str">
            <v/>
          </cell>
          <cell r="AG106" t="str">
            <v/>
          </cell>
          <cell r="AH106">
            <v>0</v>
          </cell>
          <cell r="AI106">
            <v>0</v>
          </cell>
          <cell r="AJ106" t="e">
            <v>#N/A</v>
          </cell>
          <cell r="AK106" t="e">
            <v>#N/A</v>
          </cell>
          <cell r="AL106" t="e">
            <v>#N/A</v>
          </cell>
          <cell r="AM106" t="str">
            <v/>
          </cell>
          <cell r="AN106">
            <v>0</v>
          </cell>
          <cell r="AO106" t="str">
            <v/>
          </cell>
          <cell r="AP106">
            <v>0</v>
          </cell>
          <cell r="AQ106" t="str">
            <v/>
          </cell>
          <cell r="AR106">
            <v>0</v>
          </cell>
          <cell r="AS106" t="str">
            <v/>
          </cell>
          <cell r="AT106" t="str">
            <v/>
          </cell>
          <cell r="AU106">
            <v>0</v>
          </cell>
          <cell r="AV106" t="str">
            <v/>
          </cell>
          <cell r="AW106" t="e">
            <v>#N/A</v>
          </cell>
          <cell r="AX106" t="e">
            <v>#N/A</v>
          </cell>
          <cell r="AY106" t="str">
            <v/>
          </cell>
          <cell r="AZ106">
            <v>0</v>
          </cell>
          <cell r="BA106" t="str">
            <v/>
          </cell>
          <cell r="BB106">
            <v>0</v>
          </cell>
          <cell r="BC106" t="str">
            <v/>
          </cell>
        </row>
        <row r="107">
          <cell r="AF107" t="str">
            <v/>
          </cell>
          <cell r="AG107" t="str">
            <v/>
          </cell>
          <cell r="AH107">
            <v>0</v>
          </cell>
          <cell r="AI107">
            <v>0</v>
          </cell>
          <cell r="AJ107" t="e">
            <v>#N/A</v>
          </cell>
          <cell r="AK107" t="e">
            <v>#N/A</v>
          </cell>
          <cell r="AL107" t="e">
            <v>#N/A</v>
          </cell>
          <cell r="AM107" t="str">
            <v/>
          </cell>
          <cell r="AN107">
            <v>0</v>
          </cell>
          <cell r="AO107" t="str">
            <v/>
          </cell>
          <cell r="AP107">
            <v>0</v>
          </cell>
          <cell r="AQ107" t="str">
            <v/>
          </cell>
          <cell r="AR107">
            <v>0</v>
          </cell>
          <cell r="AS107" t="str">
            <v/>
          </cell>
          <cell r="AT107" t="str">
            <v/>
          </cell>
          <cell r="AU107">
            <v>0</v>
          </cell>
          <cell r="AV107" t="str">
            <v/>
          </cell>
          <cell r="AW107" t="e">
            <v>#N/A</v>
          </cell>
          <cell r="AX107" t="e">
            <v>#N/A</v>
          </cell>
          <cell r="AY107" t="str">
            <v/>
          </cell>
          <cell r="AZ107">
            <v>0</v>
          </cell>
          <cell r="BA107" t="str">
            <v/>
          </cell>
          <cell r="BB107">
            <v>0</v>
          </cell>
          <cell r="BC107" t="str">
            <v/>
          </cell>
        </row>
        <row r="108">
          <cell r="AF108" t="str">
            <v/>
          </cell>
          <cell r="AG108" t="str">
            <v/>
          </cell>
          <cell r="AH108">
            <v>0</v>
          </cell>
          <cell r="AI108">
            <v>0</v>
          </cell>
          <cell r="AJ108" t="e">
            <v>#N/A</v>
          </cell>
          <cell r="AK108" t="e">
            <v>#N/A</v>
          </cell>
          <cell r="AL108" t="e">
            <v>#N/A</v>
          </cell>
          <cell r="AM108" t="str">
            <v/>
          </cell>
          <cell r="AN108">
            <v>0</v>
          </cell>
          <cell r="AO108" t="str">
            <v/>
          </cell>
          <cell r="AP108">
            <v>0</v>
          </cell>
          <cell r="AQ108" t="str">
            <v/>
          </cell>
          <cell r="AR108">
            <v>0</v>
          </cell>
          <cell r="AS108" t="str">
            <v/>
          </cell>
          <cell r="AT108" t="str">
            <v/>
          </cell>
          <cell r="AU108">
            <v>0</v>
          </cell>
          <cell r="AV108" t="str">
            <v/>
          </cell>
          <cell r="AW108" t="e">
            <v>#N/A</v>
          </cell>
          <cell r="AX108" t="e">
            <v>#N/A</v>
          </cell>
          <cell r="AY108" t="str">
            <v/>
          </cell>
          <cell r="AZ108">
            <v>0</v>
          </cell>
          <cell r="BA108" t="str">
            <v/>
          </cell>
          <cell r="BB108">
            <v>0</v>
          </cell>
          <cell r="BC108" t="str">
            <v/>
          </cell>
        </row>
        <row r="109">
          <cell r="AF109" t="str">
            <v/>
          </cell>
          <cell r="AG109" t="str">
            <v/>
          </cell>
          <cell r="AH109">
            <v>0</v>
          </cell>
          <cell r="AI109">
            <v>0</v>
          </cell>
          <cell r="AJ109" t="e">
            <v>#N/A</v>
          </cell>
          <cell r="AK109" t="e">
            <v>#N/A</v>
          </cell>
          <cell r="AL109" t="e">
            <v>#N/A</v>
          </cell>
          <cell r="AM109" t="str">
            <v/>
          </cell>
          <cell r="AN109">
            <v>0</v>
          </cell>
          <cell r="AO109" t="str">
            <v/>
          </cell>
          <cell r="AP109">
            <v>0</v>
          </cell>
          <cell r="AQ109" t="str">
            <v/>
          </cell>
          <cell r="AR109">
            <v>0</v>
          </cell>
          <cell r="AS109" t="str">
            <v/>
          </cell>
          <cell r="AT109" t="str">
            <v/>
          </cell>
          <cell r="AU109">
            <v>0</v>
          </cell>
          <cell r="AV109" t="str">
            <v/>
          </cell>
          <cell r="AW109" t="e">
            <v>#N/A</v>
          </cell>
          <cell r="AX109" t="e">
            <v>#N/A</v>
          </cell>
          <cell r="AY109" t="str">
            <v/>
          </cell>
          <cell r="AZ109">
            <v>0</v>
          </cell>
          <cell r="BA109" t="str">
            <v/>
          </cell>
          <cell r="BB109">
            <v>0</v>
          </cell>
          <cell r="BC109" t="str">
            <v/>
          </cell>
        </row>
        <row r="110">
          <cell r="AF110" t="str">
            <v/>
          </cell>
          <cell r="AG110" t="str">
            <v/>
          </cell>
          <cell r="AH110">
            <v>0</v>
          </cell>
          <cell r="AI110">
            <v>0</v>
          </cell>
          <cell r="AJ110" t="e">
            <v>#N/A</v>
          </cell>
          <cell r="AK110" t="e">
            <v>#N/A</v>
          </cell>
          <cell r="AL110" t="e">
            <v>#N/A</v>
          </cell>
          <cell r="AM110" t="str">
            <v/>
          </cell>
          <cell r="AN110">
            <v>0</v>
          </cell>
          <cell r="AO110" t="str">
            <v/>
          </cell>
          <cell r="AP110">
            <v>0</v>
          </cell>
          <cell r="AQ110" t="str">
            <v/>
          </cell>
          <cell r="AR110">
            <v>0</v>
          </cell>
          <cell r="AS110" t="str">
            <v/>
          </cell>
          <cell r="AT110" t="str">
            <v/>
          </cell>
          <cell r="AU110">
            <v>0</v>
          </cell>
          <cell r="AV110" t="str">
            <v/>
          </cell>
          <cell r="AW110" t="e">
            <v>#N/A</v>
          </cell>
          <cell r="AX110" t="e">
            <v>#N/A</v>
          </cell>
          <cell r="AY110" t="str">
            <v/>
          </cell>
          <cell r="AZ110">
            <v>0</v>
          </cell>
          <cell r="BA110" t="str">
            <v/>
          </cell>
          <cell r="BB110">
            <v>0</v>
          </cell>
          <cell r="BC110" t="str">
            <v/>
          </cell>
        </row>
        <row r="111">
          <cell r="AF111" t="str">
            <v/>
          </cell>
          <cell r="AG111" t="str">
            <v/>
          </cell>
          <cell r="AH111">
            <v>0</v>
          </cell>
          <cell r="AI111">
            <v>0</v>
          </cell>
          <cell r="AJ111" t="e">
            <v>#N/A</v>
          </cell>
          <cell r="AK111" t="e">
            <v>#N/A</v>
          </cell>
          <cell r="AL111" t="e">
            <v>#N/A</v>
          </cell>
          <cell r="AM111" t="str">
            <v/>
          </cell>
          <cell r="AN111">
            <v>0</v>
          </cell>
          <cell r="AO111" t="str">
            <v/>
          </cell>
          <cell r="AP111">
            <v>0</v>
          </cell>
          <cell r="AQ111" t="str">
            <v/>
          </cell>
          <cell r="AR111">
            <v>0</v>
          </cell>
          <cell r="AS111" t="str">
            <v/>
          </cell>
          <cell r="AT111" t="str">
            <v/>
          </cell>
          <cell r="AU111">
            <v>0</v>
          </cell>
          <cell r="AV111" t="str">
            <v/>
          </cell>
          <cell r="AW111" t="e">
            <v>#N/A</v>
          </cell>
          <cell r="AX111" t="e">
            <v>#N/A</v>
          </cell>
          <cell r="AY111" t="str">
            <v/>
          </cell>
          <cell r="AZ111">
            <v>0</v>
          </cell>
          <cell r="BA111" t="str">
            <v/>
          </cell>
          <cell r="BB111">
            <v>0</v>
          </cell>
          <cell r="BC111" t="str">
            <v/>
          </cell>
        </row>
        <row r="112">
          <cell r="AF112" t="str">
            <v/>
          </cell>
          <cell r="AG112" t="str">
            <v/>
          </cell>
          <cell r="AH112">
            <v>0</v>
          </cell>
          <cell r="AI112">
            <v>0</v>
          </cell>
          <cell r="AJ112" t="e">
            <v>#N/A</v>
          </cell>
          <cell r="AK112" t="e">
            <v>#N/A</v>
          </cell>
          <cell r="AL112" t="e">
            <v>#N/A</v>
          </cell>
          <cell r="AM112" t="str">
            <v/>
          </cell>
          <cell r="AN112">
            <v>0</v>
          </cell>
          <cell r="AO112" t="str">
            <v/>
          </cell>
          <cell r="AP112">
            <v>0</v>
          </cell>
          <cell r="AQ112" t="str">
            <v/>
          </cell>
          <cell r="AR112">
            <v>0</v>
          </cell>
          <cell r="AS112" t="str">
            <v/>
          </cell>
          <cell r="AT112" t="str">
            <v/>
          </cell>
          <cell r="AU112">
            <v>0</v>
          </cell>
          <cell r="AV112" t="str">
            <v/>
          </cell>
          <cell r="AW112" t="e">
            <v>#N/A</v>
          </cell>
          <cell r="AX112" t="e">
            <v>#N/A</v>
          </cell>
          <cell r="AY112" t="str">
            <v/>
          </cell>
          <cell r="AZ112">
            <v>0</v>
          </cell>
          <cell r="BA112" t="str">
            <v/>
          </cell>
          <cell r="BB112">
            <v>0</v>
          </cell>
          <cell r="BC112" t="str">
            <v/>
          </cell>
        </row>
        <row r="113">
          <cell r="AF113" t="str">
            <v/>
          </cell>
          <cell r="AG113" t="str">
            <v/>
          </cell>
          <cell r="AH113">
            <v>0</v>
          </cell>
          <cell r="AI113">
            <v>0</v>
          </cell>
          <cell r="AJ113" t="e">
            <v>#N/A</v>
          </cell>
          <cell r="AK113" t="e">
            <v>#N/A</v>
          </cell>
          <cell r="AL113" t="e">
            <v>#N/A</v>
          </cell>
          <cell r="AM113" t="str">
            <v/>
          </cell>
          <cell r="AN113">
            <v>0</v>
          </cell>
          <cell r="AO113" t="str">
            <v/>
          </cell>
          <cell r="AP113">
            <v>0</v>
          </cell>
          <cell r="AQ113" t="str">
            <v/>
          </cell>
          <cell r="AR113">
            <v>0</v>
          </cell>
          <cell r="AS113" t="str">
            <v/>
          </cell>
          <cell r="AT113" t="str">
            <v/>
          </cell>
          <cell r="AU113">
            <v>0</v>
          </cell>
          <cell r="AV113" t="str">
            <v/>
          </cell>
          <cell r="AW113" t="e">
            <v>#N/A</v>
          </cell>
          <cell r="AX113" t="e">
            <v>#N/A</v>
          </cell>
          <cell r="AY113" t="str">
            <v/>
          </cell>
          <cell r="AZ113">
            <v>0</v>
          </cell>
          <cell r="BA113" t="str">
            <v/>
          </cell>
          <cell r="BB113">
            <v>0</v>
          </cell>
          <cell r="BC113" t="str">
            <v/>
          </cell>
        </row>
        <row r="114">
          <cell r="AF114" t="str">
            <v/>
          </cell>
          <cell r="AG114" t="str">
            <v/>
          </cell>
          <cell r="AH114">
            <v>0</v>
          </cell>
          <cell r="AI114">
            <v>0</v>
          </cell>
          <cell r="AJ114" t="e">
            <v>#N/A</v>
          </cell>
          <cell r="AK114" t="e">
            <v>#N/A</v>
          </cell>
          <cell r="AL114" t="e">
            <v>#N/A</v>
          </cell>
          <cell r="AM114" t="str">
            <v/>
          </cell>
          <cell r="AN114">
            <v>0</v>
          </cell>
          <cell r="AO114" t="str">
            <v/>
          </cell>
          <cell r="AP114">
            <v>0</v>
          </cell>
          <cell r="AQ114" t="str">
            <v/>
          </cell>
          <cell r="AR114">
            <v>0</v>
          </cell>
          <cell r="AS114" t="str">
            <v/>
          </cell>
          <cell r="AT114" t="str">
            <v/>
          </cell>
          <cell r="AU114">
            <v>0</v>
          </cell>
          <cell r="AV114" t="str">
            <v/>
          </cell>
          <cell r="AW114" t="e">
            <v>#N/A</v>
          </cell>
          <cell r="AX114" t="e">
            <v>#N/A</v>
          </cell>
          <cell r="AY114" t="str">
            <v/>
          </cell>
          <cell r="AZ114">
            <v>0</v>
          </cell>
          <cell r="BA114" t="str">
            <v/>
          </cell>
          <cell r="BB114">
            <v>0</v>
          </cell>
          <cell r="BC114" t="str">
            <v/>
          </cell>
        </row>
        <row r="115">
          <cell r="AF115" t="str">
            <v/>
          </cell>
          <cell r="AG115" t="str">
            <v/>
          </cell>
          <cell r="AH115">
            <v>0</v>
          </cell>
          <cell r="AI115">
            <v>0</v>
          </cell>
          <cell r="AJ115" t="e">
            <v>#N/A</v>
          </cell>
          <cell r="AK115" t="e">
            <v>#N/A</v>
          </cell>
          <cell r="AL115" t="e">
            <v>#N/A</v>
          </cell>
          <cell r="AM115" t="str">
            <v/>
          </cell>
          <cell r="AN115">
            <v>0</v>
          </cell>
          <cell r="AO115" t="str">
            <v/>
          </cell>
          <cell r="AP115">
            <v>0</v>
          </cell>
          <cell r="AQ115" t="str">
            <v/>
          </cell>
          <cell r="AR115">
            <v>0</v>
          </cell>
          <cell r="AS115" t="str">
            <v/>
          </cell>
          <cell r="AT115" t="str">
            <v/>
          </cell>
          <cell r="AU115">
            <v>0</v>
          </cell>
          <cell r="AV115" t="str">
            <v/>
          </cell>
          <cell r="AW115" t="e">
            <v>#N/A</v>
          </cell>
          <cell r="AX115" t="e">
            <v>#N/A</v>
          </cell>
          <cell r="AY115" t="str">
            <v/>
          </cell>
          <cell r="AZ115">
            <v>0</v>
          </cell>
          <cell r="BA115" t="str">
            <v/>
          </cell>
          <cell r="BB115">
            <v>0</v>
          </cell>
          <cell r="BC115" t="str">
            <v/>
          </cell>
        </row>
        <row r="116">
          <cell r="AF116" t="str">
            <v/>
          </cell>
          <cell r="AG116" t="str">
            <v/>
          </cell>
          <cell r="AH116">
            <v>0</v>
          </cell>
          <cell r="AI116">
            <v>0</v>
          </cell>
          <cell r="AJ116" t="e">
            <v>#N/A</v>
          </cell>
          <cell r="AK116" t="e">
            <v>#N/A</v>
          </cell>
          <cell r="AL116" t="e">
            <v>#N/A</v>
          </cell>
          <cell r="AM116" t="str">
            <v/>
          </cell>
          <cell r="AN116">
            <v>0</v>
          </cell>
          <cell r="AO116" t="str">
            <v/>
          </cell>
          <cell r="AP116">
            <v>0</v>
          </cell>
          <cell r="AQ116" t="str">
            <v/>
          </cell>
          <cell r="AR116">
            <v>0</v>
          </cell>
          <cell r="AS116" t="str">
            <v/>
          </cell>
          <cell r="AT116" t="str">
            <v/>
          </cell>
          <cell r="AU116">
            <v>0</v>
          </cell>
          <cell r="AV116" t="str">
            <v/>
          </cell>
          <cell r="AW116" t="e">
            <v>#N/A</v>
          </cell>
          <cell r="AX116" t="e">
            <v>#N/A</v>
          </cell>
          <cell r="AY116" t="str">
            <v/>
          </cell>
          <cell r="AZ116">
            <v>0</v>
          </cell>
          <cell r="BA116" t="str">
            <v/>
          </cell>
          <cell r="BB116">
            <v>0</v>
          </cell>
          <cell r="BC116" t="str">
            <v/>
          </cell>
        </row>
        <row r="117">
          <cell r="AF117" t="str">
            <v/>
          </cell>
          <cell r="AG117" t="str">
            <v/>
          </cell>
          <cell r="AH117">
            <v>0</v>
          </cell>
          <cell r="AI117">
            <v>0</v>
          </cell>
          <cell r="AJ117" t="e">
            <v>#N/A</v>
          </cell>
          <cell r="AK117" t="e">
            <v>#N/A</v>
          </cell>
          <cell r="AL117" t="e">
            <v>#N/A</v>
          </cell>
          <cell r="AM117" t="str">
            <v/>
          </cell>
          <cell r="AN117">
            <v>0</v>
          </cell>
          <cell r="AO117" t="str">
            <v/>
          </cell>
          <cell r="AP117">
            <v>0</v>
          </cell>
          <cell r="AQ117" t="str">
            <v/>
          </cell>
          <cell r="AR117">
            <v>0</v>
          </cell>
          <cell r="AS117" t="str">
            <v/>
          </cell>
          <cell r="AT117" t="str">
            <v/>
          </cell>
          <cell r="AU117">
            <v>0</v>
          </cell>
          <cell r="AV117" t="str">
            <v/>
          </cell>
          <cell r="AW117" t="e">
            <v>#N/A</v>
          </cell>
          <cell r="AX117" t="e">
            <v>#N/A</v>
          </cell>
          <cell r="AY117" t="str">
            <v/>
          </cell>
          <cell r="AZ117">
            <v>0</v>
          </cell>
          <cell r="BA117" t="str">
            <v/>
          </cell>
          <cell r="BB117">
            <v>0</v>
          </cell>
          <cell r="BC117" t="str">
            <v/>
          </cell>
        </row>
        <row r="118">
          <cell r="AF118" t="str">
            <v/>
          </cell>
          <cell r="AG118" t="str">
            <v/>
          </cell>
          <cell r="AH118">
            <v>0</v>
          </cell>
          <cell r="AI118">
            <v>0</v>
          </cell>
          <cell r="AJ118" t="e">
            <v>#N/A</v>
          </cell>
          <cell r="AK118" t="e">
            <v>#N/A</v>
          </cell>
          <cell r="AL118" t="e">
            <v>#N/A</v>
          </cell>
          <cell r="AM118" t="str">
            <v/>
          </cell>
          <cell r="AN118">
            <v>0</v>
          </cell>
          <cell r="AO118" t="str">
            <v/>
          </cell>
          <cell r="AP118">
            <v>0</v>
          </cell>
          <cell r="AQ118" t="str">
            <v/>
          </cell>
          <cell r="AR118">
            <v>0</v>
          </cell>
          <cell r="AS118" t="str">
            <v/>
          </cell>
          <cell r="AT118" t="str">
            <v/>
          </cell>
          <cell r="AU118">
            <v>0</v>
          </cell>
          <cell r="AV118" t="str">
            <v/>
          </cell>
          <cell r="AW118" t="e">
            <v>#N/A</v>
          </cell>
          <cell r="AX118" t="e">
            <v>#N/A</v>
          </cell>
          <cell r="AY118" t="str">
            <v/>
          </cell>
          <cell r="AZ118">
            <v>0</v>
          </cell>
          <cell r="BA118" t="str">
            <v/>
          </cell>
          <cell r="BB118">
            <v>0</v>
          </cell>
          <cell r="BC118" t="str">
            <v/>
          </cell>
        </row>
        <row r="119">
          <cell r="AF119" t="str">
            <v/>
          </cell>
          <cell r="AG119" t="str">
            <v/>
          </cell>
          <cell r="AH119">
            <v>0</v>
          </cell>
          <cell r="AI119">
            <v>0</v>
          </cell>
          <cell r="AJ119" t="e">
            <v>#N/A</v>
          </cell>
          <cell r="AK119" t="e">
            <v>#N/A</v>
          </cell>
          <cell r="AL119" t="e">
            <v>#N/A</v>
          </cell>
          <cell r="AM119" t="str">
            <v/>
          </cell>
          <cell r="AN119">
            <v>0</v>
          </cell>
          <cell r="AO119" t="str">
            <v/>
          </cell>
          <cell r="AP119">
            <v>0</v>
          </cell>
          <cell r="AQ119" t="str">
            <v/>
          </cell>
          <cell r="AR119">
            <v>0</v>
          </cell>
          <cell r="AS119" t="str">
            <v/>
          </cell>
          <cell r="AT119" t="str">
            <v/>
          </cell>
          <cell r="AU119">
            <v>0</v>
          </cell>
          <cell r="AV119" t="str">
            <v/>
          </cell>
          <cell r="AW119" t="e">
            <v>#N/A</v>
          </cell>
          <cell r="AX119" t="e">
            <v>#N/A</v>
          </cell>
          <cell r="AY119" t="str">
            <v/>
          </cell>
          <cell r="AZ119">
            <v>0</v>
          </cell>
          <cell r="BA119" t="str">
            <v/>
          </cell>
          <cell r="BB119">
            <v>0</v>
          </cell>
          <cell r="BC119" t="str">
            <v/>
          </cell>
        </row>
        <row r="120">
          <cell r="AF120" t="str">
            <v/>
          </cell>
          <cell r="AG120" t="str">
            <v/>
          </cell>
          <cell r="AH120">
            <v>0</v>
          </cell>
          <cell r="AI120">
            <v>0</v>
          </cell>
          <cell r="AJ120" t="e">
            <v>#N/A</v>
          </cell>
          <cell r="AK120" t="e">
            <v>#N/A</v>
          </cell>
          <cell r="AL120" t="e">
            <v>#N/A</v>
          </cell>
          <cell r="AM120" t="str">
            <v/>
          </cell>
          <cell r="AN120">
            <v>0</v>
          </cell>
          <cell r="AO120" t="str">
            <v/>
          </cell>
          <cell r="AP120">
            <v>0</v>
          </cell>
          <cell r="AQ120" t="str">
            <v/>
          </cell>
          <cell r="AR120">
            <v>0</v>
          </cell>
          <cell r="AS120" t="str">
            <v/>
          </cell>
          <cell r="AT120" t="str">
            <v/>
          </cell>
          <cell r="AU120">
            <v>0</v>
          </cell>
          <cell r="AV120" t="str">
            <v/>
          </cell>
          <cell r="AW120" t="e">
            <v>#N/A</v>
          </cell>
          <cell r="AX120" t="e">
            <v>#N/A</v>
          </cell>
          <cell r="AY120" t="str">
            <v/>
          </cell>
          <cell r="AZ120">
            <v>0</v>
          </cell>
          <cell r="BA120" t="str">
            <v/>
          </cell>
          <cell r="BB120">
            <v>0</v>
          </cell>
          <cell r="BC120" t="str">
            <v/>
          </cell>
        </row>
        <row r="121">
          <cell r="AF121" t="str">
            <v/>
          </cell>
          <cell r="AG121" t="str">
            <v/>
          </cell>
          <cell r="AH121">
            <v>0</v>
          </cell>
          <cell r="AI121">
            <v>0</v>
          </cell>
          <cell r="AJ121" t="e">
            <v>#N/A</v>
          </cell>
          <cell r="AK121" t="e">
            <v>#N/A</v>
          </cell>
          <cell r="AL121" t="e">
            <v>#N/A</v>
          </cell>
          <cell r="AM121" t="str">
            <v/>
          </cell>
          <cell r="AN121">
            <v>0</v>
          </cell>
          <cell r="AO121" t="str">
            <v/>
          </cell>
          <cell r="AP121">
            <v>0</v>
          </cell>
          <cell r="AQ121" t="str">
            <v/>
          </cell>
          <cell r="AR121">
            <v>0</v>
          </cell>
          <cell r="AS121" t="str">
            <v/>
          </cell>
          <cell r="AT121" t="str">
            <v/>
          </cell>
          <cell r="AU121">
            <v>0</v>
          </cell>
          <cell r="AV121" t="str">
            <v/>
          </cell>
          <cell r="AW121" t="e">
            <v>#N/A</v>
          </cell>
          <cell r="AX121" t="e">
            <v>#N/A</v>
          </cell>
          <cell r="AY121" t="str">
            <v/>
          </cell>
          <cell r="AZ121">
            <v>0</v>
          </cell>
          <cell r="BA121" t="str">
            <v/>
          </cell>
          <cell r="BB121">
            <v>0</v>
          </cell>
          <cell r="BC121" t="str">
            <v/>
          </cell>
        </row>
        <row r="122">
          <cell r="AF122" t="str">
            <v/>
          </cell>
          <cell r="AG122" t="str">
            <v/>
          </cell>
          <cell r="AH122">
            <v>0</v>
          </cell>
          <cell r="AI122">
            <v>0</v>
          </cell>
          <cell r="AJ122" t="e">
            <v>#N/A</v>
          </cell>
          <cell r="AK122" t="e">
            <v>#N/A</v>
          </cell>
          <cell r="AL122" t="e">
            <v>#N/A</v>
          </cell>
          <cell r="AM122" t="str">
            <v/>
          </cell>
          <cell r="AN122">
            <v>0</v>
          </cell>
          <cell r="AO122" t="str">
            <v/>
          </cell>
          <cell r="AP122">
            <v>0</v>
          </cell>
          <cell r="AQ122" t="str">
            <v/>
          </cell>
          <cell r="AR122">
            <v>0</v>
          </cell>
          <cell r="AS122" t="str">
            <v/>
          </cell>
          <cell r="AT122" t="str">
            <v/>
          </cell>
          <cell r="AU122">
            <v>0</v>
          </cell>
          <cell r="AV122" t="str">
            <v/>
          </cell>
          <cell r="AW122" t="e">
            <v>#N/A</v>
          </cell>
          <cell r="AX122" t="e">
            <v>#N/A</v>
          </cell>
          <cell r="AY122" t="str">
            <v/>
          </cell>
          <cell r="AZ122">
            <v>0</v>
          </cell>
          <cell r="BA122" t="str">
            <v/>
          </cell>
          <cell r="BB122">
            <v>0</v>
          </cell>
          <cell r="BC122" t="str">
            <v/>
          </cell>
        </row>
        <row r="123">
          <cell r="AF123" t="str">
            <v/>
          </cell>
          <cell r="AG123" t="str">
            <v/>
          </cell>
          <cell r="AH123">
            <v>0</v>
          </cell>
          <cell r="AI123">
            <v>0</v>
          </cell>
          <cell r="AJ123" t="e">
            <v>#N/A</v>
          </cell>
          <cell r="AK123" t="e">
            <v>#N/A</v>
          </cell>
          <cell r="AL123" t="e">
            <v>#N/A</v>
          </cell>
          <cell r="AM123" t="str">
            <v/>
          </cell>
          <cell r="AN123">
            <v>0</v>
          </cell>
          <cell r="AO123" t="str">
            <v/>
          </cell>
          <cell r="AP123">
            <v>0</v>
          </cell>
          <cell r="AQ123" t="str">
            <v/>
          </cell>
          <cell r="AR123">
            <v>0</v>
          </cell>
          <cell r="AS123" t="str">
            <v/>
          </cell>
          <cell r="AT123" t="str">
            <v/>
          </cell>
          <cell r="AU123">
            <v>0</v>
          </cell>
          <cell r="AV123" t="str">
            <v/>
          </cell>
          <cell r="AW123" t="e">
            <v>#N/A</v>
          </cell>
          <cell r="AX123" t="e">
            <v>#N/A</v>
          </cell>
          <cell r="AY123" t="str">
            <v/>
          </cell>
          <cell r="AZ123">
            <v>0</v>
          </cell>
          <cell r="BA123" t="str">
            <v/>
          </cell>
          <cell r="BB123">
            <v>0</v>
          </cell>
          <cell r="BC123" t="str">
            <v/>
          </cell>
        </row>
        <row r="124">
          <cell r="AF124" t="str">
            <v/>
          </cell>
          <cell r="AG124" t="str">
            <v/>
          </cell>
          <cell r="AH124">
            <v>0</v>
          </cell>
          <cell r="AI124">
            <v>0</v>
          </cell>
          <cell r="AJ124" t="e">
            <v>#N/A</v>
          </cell>
          <cell r="AK124" t="e">
            <v>#N/A</v>
          </cell>
          <cell r="AL124" t="e">
            <v>#N/A</v>
          </cell>
          <cell r="AM124" t="str">
            <v/>
          </cell>
          <cell r="AN124">
            <v>0</v>
          </cell>
          <cell r="AO124" t="str">
            <v/>
          </cell>
          <cell r="AP124">
            <v>0</v>
          </cell>
          <cell r="AQ124" t="str">
            <v/>
          </cell>
          <cell r="AR124">
            <v>0</v>
          </cell>
          <cell r="AS124" t="str">
            <v/>
          </cell>
          <cell r="AT124" t="str">
            <v/>
          </cell>
          <cell r="AU124">
            <v>0</v>
          </cell>
          <cell r="AV124" t="str">
            <v/>
          </cell>
          <cell r="AW124" t="e">
            <v>#N/A</v>
          </cell>
          <cell r="AX124" t="e">
            <v>#N/A</v>
          </cell>
          <cell r="AY124" t="str">
            <v/>
          </cell>
          <cell r="AZ124">
            <v>0</v>
          </cell>
          <cell r="BA124" t="str">
            <v/>
          </cell>
          <cell r="BB124">
            <v>0</v>
          </cell>
          <cell r="BC124" t="str">
            <v/>
          </cell>
        </row>
        <row r="125">
          <cell r="AF125" t="str">
            <v/>
          </cell>
          <cell r="AG125" t="str">
            <v/>
          </cell>
          <cell r="AH125">
            <v>0</v>
          </cell>
          <cell r="AI125">
            <v>0</v>
          </cell>
          <cell r="AJ125" t="e">
            <v>#N/A</v>
          </cell>
          <cell r="AK125" t="e">
            <v>#N/A</v>
          </cell>
          <cell r="AL125" t="e">
            <v>#N/A</v>
          </cell>
          <cell r="AM125" t="str">
            <v/>
          </cell>
          <cell r="AN125">
            <v>0</v>
          </cell>
          <cell r="AO125" t="str">
            <v/>
          </cell>
          <cell r="AP125">
            <v>0</v>
          </cell>
          <cell r="AQ125" t="str">
            <v/>
          </cell>
          <cell r="AR125">
            <v>0</v>
          </cell>
          <cell r="AS125" t="str">
            <v/>
          </cell>
          <cell r="AT125" t="str">
            <v/>
          </cell>
          <cell r="AU125">
            <v>0</v>
          </cell>
          <cell r="AV125" t="str">
            <v/>
          </cell>
          <cell r="AW125" t="e">
            <v>#N/A</v>
          </cell>
          <cell r="AX125" t="e">
            <v>#N/A</v>
          </cell>
          <cell r="AY125" t="str">
            <v/>
          </cell>
          <cell r="AZ125">
            <v>0</v>
          </cell>
          <cell r="BA125" t="str">
            <v/>
          </cell>
          <cell r="BB125">
            <v>0</v>
          </cell>
          <cell r="BC125" t="str">
            <v/>
          </cell>
        </row>
        <row r="126">
          <cell r="AF126" t="str">
            <v/>
          </cell>
          <cell r="AG126" t="str">
            <v/>
          </cell>
          <cell r="AH126">
            <v>0</v>
          </cell>
          <cell r="AI126">
            <v>0</v>
          </cell>
          <cell r="AJ126" t="e">
            <v>#N/A</v>
          </cell>
          <cell r="AK126" t="e">
            <v>#N/A</v>
          </cell>
          <cell r="AL126" t="e">
            <v>#N/A</v>
          </cell>
          <cell r="AM126" t="str">
            <v/>
          </cell>
          <cell r="AN126">
            <v>0</v>
          </cell>
          <cell r="AO126" t="str">
            <v/>
          </cell>
          <cell r="AP126">
            <v>0</v>
          </cell>
          <cell r="AQ126" t="str">
            <v/>
          </cell>
          <cell r="AR126">
            <v>0</v>
          </cell>
          <cell r="AS126" t="str">
            <v/>
          </cell>
          <cell r="AT126" t="str">
            <v/>
          </cell>
          <cell r="AU126">
            <v>0</v>
          </cell>
          <cell r="AV126" t="str">
            <v/>
          </cell>
          <cell r="AW126" t="e">
            <v>#N/A</v>
          </cell>
          <cell r="AX126" t="e">
            <v>#N/A</v>
          </cell>
          <cell r="AY126" t="str">
            <v/>
          </cell>
          <cell r="AZ126">
            <v>0</v>
          </cell>
          <cell r="BA126" t="str">
            <v/>
          </cell>
          <cell r="BB126">
            <v>0</v>
          </cell>
          <cell r="BC126" t="str">
            <v/>
          </cell>
        </row>
        <row r="127">
          <cell r="AF127" t="str">
            <v/>
          </cell>
          <cell r="AG127" t="str">
            <v/>
          </cell>
          <cell r="AH127">
            <v>0</v>
          </cell>
          <cell r="AI127">
            <v>0</v>
          </cell>
          <cell r="AJ127" t="e">
            <v>#N/A</v>
          </cell>
          <cell r="AK127" t="e">
            <v>#N/A</v>
          </cell>
          <cell r="AL127" t="e">
            <v>#N/A</v>
          </cell>
          <cell r="AM127" t="str">
            <v/>
          </cell>
          <cell r="AN127">
            <v>0</v>
          </cell>
          <cell r="AO127" t="str">
            <v/>
          </cell>
          <cell r="AP127">
            <v>0</v>
          </cell>
          <cell r="AQ127" t="str">
            <v/>
          </cell>
          <cell r="AR127">
            <v>0</v>
          </cell>
          <cell r="AS127" t="str">
            <v/>
          </cell>
          <cell r="AT127" t="str">
            <v/>
          </cell>
          <cell r="AU127">
            <v>0</v>
          </cell>
          <cell r="AV127" t="str">
            <v/>
          </cell>
          <cell r="AW127" t="e">
            <v>#N/A</v>
          </cell>
          <cell r="AX127" t="e">
            <v>#N/A</v>
          </cell>
          <cell r="AY127" t="str">
            <v/>
          </cell>
          <cell r="AZ127">
            <v>0</v>
          </cell>
          <cell r="BA127" t="str">
            <v/>
          </cell>
          <cell r="BB127">
            <v>0</v>
          </cell>
          <cell r="BC127" t="str">
            <v/>
          </cell>
        </row>
        <row r="128">
          <cell r="AF128" t="str">
            <v/>
          </cell>
          <cell r="AG128" t="str">
            <v/>
          </cell>
          <cell r="AH128">
            <v>0</v>
          </cell>
          <cell r="AI128">
            <v>0</v>
          </cell>
          <cell r="AJ128" t="e">
            <v>#N/A</v>
          </cell>
          <cell r="AK128" t="e">
            <v>#N/A</v>
          </cell>
          <cell r="AL128" t="e">
            <v>#N/A</v>
          </cell>
          <cell r="AM128" t="str">
            <v/>
          </cell>
          <cell r="AN128">
            <v>0</v>
          </cell>
          <cell r="AO128" t="str">
            <v/>
          </cell>
          <cell r="AP128">
            <v>0</v>
          </cell>
          <cell r="AQ128" t="str">
            <v/>
          </cell>
          <cell r="AR128">
            <v>0</v>
          </cell>
          <cell r="AS128" t="str">
            <v/>
          </cell>
          <cell r="AT128" t="str">
            <v/>
          </cell>
          <cell r="AU128">
            <v>0</v>
          </cell>
          <cell r="AV128" t="str">
            <v/>
          </cell>
          <cell r="AW128" t="e">
            <v>#N/A</v>
          </cell>
          <cell r="AX128" t="e">
            <v>#N/A</v>
          </cell>
          <cell r="AY128" t="str">
            <v/>
          </cell>
          <cell r="AZ128">
            <v>0</v>
          </cell>
          <cell r="BA128" t="str">
            <v/>
          </cell>
          <cell r="BB128">
            <v>0</v>
          </cell>
          <cell r="BC128" t="str">
            <v/>
          </cell>
        </row>
        <row r="129">
          <cell r="AF129" t="str">
            <v/>
          </cell>
          <cell r="AG129" t="str">
            <v/>
          </cell>
          <cell r="AH129">
            <v>0</v>
          </cell>
          <cell r="AI129">
            <v>0</v>
          </cell>
          <cell r="AJ129" t="e">
            <v>#N/A</v>
          </cell>
          <cell r="AK129" t="e">
            <v>#N/A</v>
          </cell>
          <cell r="AL129" t="e">
            <v>#N/A</v>
          </cell>
          <cell r="AM129" t="str">
            <v/>
          </cell>
          <cell r="AN129">
            <v>0</v>
          </cell>
          <cell r="AO129" t="str">
            <v/>
          </cell>
          <cell r="AP129">
            <v>0</v>
          </cell>
          <cell r="AQ129" t="str">
            <v/>
          </cell>
          <cell r="AR129">
            <v>0</v>
          </cell>
          <cell r="AS129" t="str">
            <v/>
          </cell>
          <cell r="AT129" t="str">
            <v/>
          </cell>
          <cell r="AU129">
            <v>0</v>
          </cell>
          <cell r="AV129" t="str">
            <v/>
          </cell>
          <cell r="AW129" t="e">
            <v>#N/A</v>
          </cell>
          <cell r="AX129" t="e">
            <v>#N/A</v>
          </cell>
          <cell r="AY129" t="str">
            <v/>
          </cell>
          <cell r="AZ129">
            <v>0</v>
          </cell>
          <cell r="BA129" t="str">
            <v/>
          </cell>
          <cell r="BB129">
            <v>0</v>
          </cell>
          <cell r="BC129" t="str">
            <v/>
          </cell>
        </row>
        <row r="130">
          <cell r="AF130" t="str">
            <v/>
          </cell>
          <cell r="AG130" t="str">
            <v/>
          </cell>
          <cell r="AH130">
            <v>0</v>
          </cell>
          <cell r="AI130">
            <v>0</v>
          </cell>
          <cell r="AJ130" t="e">
            <v>#N/A</v>
          </cell>
          <cell r="AK130" t="e">
            <v>#N/A</v>
          </cell>
          <cell r="AL130" t="e">
            <v>#N/A</v>
          </cell>
          <cell r="AM130" t="str">
            <v/>
          </cell>
          <cell r="AN130">
            <v>0</v>
          </cell>
          <cell r="AO130" t="str">
            <v/>
          </cell>
          <cell r="AP130">
            <v>0</v>
          </cell>
          <cell r="AQ130" t="str">
            <v/>
          </cell>
          <cell r="AR130">
            <v>0</v>
          </cell>
          <cell r="AS130" t="str">
            <v/>
          </cell>
          <cell r="AT130" t="str">
            <v/>
          </cell>
          <cell r="AU130">
            <v>0</v>
          </cell>
          <cell r="AV130" t="str">
            <v/>
          </cell>
          <cell r="AW130" t="e">
            <v>#N/A</v>
          </cell>
          <cell r="AX130" t="e">
            <v>#N/A</v>
          </cell>
          <cell r="AY130" t="str">
            <v/>
          </cell>
          <cell r="AZ130">
            <v>0</v>
          </cell>
          <cell r="BA130" t="str">
            <v/>
          </cell>
          <cell r="BB130">
            <v>0</v>
          </cell>
          <cell r="BC130" t="str">
            <v/>
          </cell>
        </row>
        <row r="131">
          <cell r="AF131" t="str">
            <v/>
          </cell>
          <cell r="AG131" t="str">
            <v/>
          </cell>
          <cell r="AH131">
            <v>0</v>
          </cell>
          <cell r="AI131">
            <v>0</v>
          </cell>
          <cell r="AJ131" t="e">
            <v>#N/A</v>
          </cell>
          <cell r="AK131" t="e">
            <v>#N/A</v>
          </cell>
          <cell r="AL131" t="e">
            <v>#N/A</v>
          </cell>
          <cell r="AM131" t="str">
            <v/>
          </cell>
          <cell r="AN131">
            <v>0</v>
          </cell>
          <cell r="AO131" t="str">
            <v/>
          </cell>
          <cell r="AP131">
            <v>0</v>
          </cell>
          <cell r="AQ131" t="str">
            <v/>
          </cell>
          <cell r="AR131">
            <v>0</v>
          </cell>
          <cell r="AS131" t="str">
            <v/>
          </cell>
          <cell r="AT131" t="str">
            <v/>
          </cell>
          <cell r="AU131">
            <v>0</v>
          </cell>
          <cell r="AV131" t="str">
            <v/>
          </cell>
          <cell r="AW131" t="e">
            <v>#N/A</v>
          </cell>
          <cell r="AX131" t="e">
            <v>#N/A</v>
          </cell>
          <cell r="AY131" t="str">
            <v/>
          </cell>
          <cell r="AZ131">
            <v>0</v>
          </cell>
          <cell r="BA131" t="str">
            <v/>
          </cell>
          <cell r="BB131">
            <v>0</v>
          </cell>
          <cell r="BC131" t="str">
            <v/>
          </cell>
        </row>
        <row r="132">
          <cell r="AF132" t="str">
            <v/>
          </cell>
          <cell r="AG132" t="str">
            <v/>
          </cell>
          <cell r="AH132">
            <v>0</v>
          </cell>
          <cell r="AI132">
            <v>0</v>
          </cell>
          <cell r="AJ132" t="e">
            <v>#N/A</v>
          </cell>
          <cell r="AK132" t="e">
            <v>#N/A</v>
          </cell>
          <cell r="AL132" t="e">
            <v>#N/A</v>
          </cell>
          <cell r="AM132" t="str">
            <v/>
          </cell>
          <cell r="AN132">
            <v>0</v>
          </cell>
          <cell r="AO132" t="str">
            <v/>
          </cell>
          <cell r="AP132">
            <v>0</v>
          </cell>
          <cell r="AQ132" t="str">
            <v/>
          </cell>
          <cell r="AR132">
            <v>0</v>
          </cell>
          <cell r="AS132" t="str">
            <v/>
          </cell>
          <cell r="AT132" t="str">
            <v/>
          </cell>
          <cell r="AU132">
            <v>0</v>
          </cell>
          <cell r="AV132" t="str">
            <v/>
          </cell>
          <cell r="AW132" t="e">
            <v>#N/A</v>
          </cell>
          <cell r="AX132" t="e">
            <v>#N/A</v>
          </cell>
          <cell r="AY132" t="str">
            <v/>
          </cell>
          <cell r="AZ132">
            <v>0</v>
          </cell>
          <cell r="BA132" t="str">
            <v/>
          </cell>
          <cell r="BB132">
            <v>0</v>
          </cell>
          <cell r="BC132" t="str">
            <v/>
          </cell>
        </row>
        <row r="133">
          <cell r="AF133" t="str">
            <v/>
          </cell>
          <cell r="AG133" t="str">
            <v/>
          </cell>
          <cell r="AH133">
            <v>0</v>
          </cell>
          <cell r="AI133">
            <v>0</v>
          </cell>
          <cell r="AJ133" t="e">
            <v>#N/A</v>
          </cell>
          <cell r="AK133" t="e">
            <v>#N/A</v>
          </cell>
          <cell r="AL133" t="e">
            <v>#N/A</v>
          </cell>
          <cell r="AM133" t="str">
            <v/>
          </cell>
          <cell r="AN133">
            <v>0</v>
          </cell>
          <cell r="AO133" t="str">
            <v/>
          </cell>
          <cell r="AP133">
            <v>0</v>
          </cell>
          <cell r="AQ133" t="str">
            <v/>
          </cell>
          <cell r="AR133">
            <v>0</v>
          </cell>
          <cell r="AS133" t="str">
            <v/>
          </cell>
          <cell r="AT133" t="str">
            <v/>
          </cell>
          <cell r="AU133">
            <v>0</v>
          </cell>
          <cell r="AV133" t="str">
            <v/>
          </cell>
          <cell r="AW133" t="e">
            <v>#N/A</v>
          </cell>
          <cell r="AX133" t="e">
            <v>#N/A</v>
          </cell>
          <cell r="AY133" t="str">
            <v/>
          </cell>
          <cell r="AZ133">
            <v>0</v>
          </cell>
          <cell r="BA133" t="str">
            <v/>
          </cell>
          <cell r="BB133">
            <v>0</v>
          </cell>
          <cell r="BC133" t="str">
            <v/>
          </cell>
        </row>
        <row r="134">
          <cell r="AF134" t="str">
            <v/>
          </cell>
          <cell r="AG134" t="str">
            <v/>
          </cell>
          <cell r="AH134">
            <v>0</v>
          </cell>
          <cell r="AI134">
            <v>0</v>
          </cell>
          <cell r="AJ134" t="e">
            <v>#N/A</v>
          </cell>
          <cell r="AK134" t="e">
            <v>#N/A</v>
          </cell>
          <cell r="AL134" t="e">
            <v>#N/A</v>
          </cell>
          <cell r="AM134" t="str">
            <v/>
          </cell>
          <cell r="AN134">
            <v>0</v>
          </cell>
          <cell r="AO134" t="str">
            <v/>
          </cell>
          <cell r="AP134">
            <v>0</v>
          </cell>
          <cell r="AQ134" t="str">
            <v/>
          </cell>
          <cell r="AR134">
            <v>0</v>
          </cell>
          <cell r="AS134" t="str">
            <v/>
          </cell>
          <cell r="AT134" t="str">
            <v/>
          </cell>
          <cell r="AU134">
            <v>0</v>
          </cell>
          <cell r="AV134" t="str">
            <v/>
          </cell>
          <cell r="AW134" t="e">
            <v>#N/A</v>
          </cell>
          <cell r="AX134" t="e">
            <v>#N/A</v>
          </cell>
          <cell r="AY134" t="str">
            <v/>
          </cell>
          <cell r="AZ134">
            <v>0</v>
          </cell>
          <cell r="BA134" t="str">
            <v/>
          </cell>
          <cell r="BB134">
            <v>0</v>
          </cell>
          <cell r="BC134" t="str">
            <v/>
          </cell>
        </row>
        <row r="135">
          <cell r="AF135" t="str">
            <v/>
          </cell>
          <cell r="AG135" t="str">
            <v/>
          </cell>
          <cell r="AH135">
            <v>0</v>
          </cell>
          <cell r="AI135">
            <v>0</v>
          </cell>
          <cell r="AJ135" t="e">
            <v>#N/A</v>
          </cell>
          <cell r="AK135" t="e">
            <v>#N/A</v>
          </cell>
          <cell r="AL135" t="e">
            <v>#N/A</v>
          </cell>
          <cell r="AM135" t="str">
            <v/>
          </cell>
          <cell r="AN135">
            <v>0</v>
          </cell>
          <cell r="AO135" t="str">
            <v/>
          </cell>
          <cell r="AP135">
            <v>0</v>
          </cell>
          <cell r="AQ135" t="str">
            <v/>
          </cell>
          <cell r="AR135">
            <v>0</v>
          </cell>
          <cell r="AS135" t="str">
            <v/>
          </cell>
          <cell r="AT135" t="str">
            <v/>
          </cell>
          <cell r="AU135">
            <v>0</v>
          </cell>
          <cell r="AV135" t="str">
            <v/>
          </cell>
          <cell r="AW135" t="e">
            <v>#N/A</v>
          </cell>
          <cell r="AX135" t="e">
            <v>#N/A</v>
          </cell>
          <cell r="AY135" t="str">
            <v/>
          </cell>
          <cell r="AZ135">
            <v>0</v>
          </cell>
          <cell r="BA135" t="str">
            <v/>
          </cell>
          <cell r="BB135">
            <v>0</v>
          </cell>
          <cell r="BC135" t="str">
            <v/>
          </cell>
        </row>
        <row r="136">
          <cell r="AF136" t="str">
            <v/>
          </cell>
          <cell r="AG136" t="str">
            <v/>
          </cell>
          <cell r="AH136">
            <v>0</v>
          </cell>
          <cell r="AI136">
            <v>0</v>
          </cell>
          <cell r="AJ136" t="e">
            <v>#N/A</v>
          </cell>
          <cell r="AK136" t="e">
            <v>#N/A</v>
          </cell>
          <cell r="AL136" t="e">
            <v>#N/A</v>
          </cell>
          <cell r="AM136" t="str">
            <v/>
          </cell>
          <cell r="AN136">
            <v>0</v>
          </cell>
          <cell r="AO136" t="str">
            <v/>
          </cell>
          <cell r="AP136">
            <v>0</v>
          </cell>
          <cell r="AQ136" t="str">
            <v/>
          </cell>
          <cell r="AR136">
            <v>0</v>
          </cell>
          <cell r="AS136" t="str">
            <v/>
          </cell>
          <cell r="AT136" t="str">
            <v/>
          </cell>
          <cell r="AU136">
            <v>0</v>
          </cell>
          <cell r="AV136" t="str">
            <v/>
          </cell>
          <cell r="AW136" t="e">
            <v>#N/A</v>
          </cell>
          <cell r="AX136" t="e">
            <v>#N/A</v>
          </cell>
          <cell r="AY136" t="str">
            <v/>
          </cell>
          <cell r="AZ136">
            <v>0</v>
          </cell>
          <cell r="BA136" t="str">
            <v/>
          </cell>
          <cell r="BB136">
            <v>0</v>
          </cell>
          <cell r="BC136" t="str">
            <v/>
          </cell>
        </row>
        <row r="137">
          <cell r="AF137" t="str">
            <v/>
          </cell>
          <cell r="AG137" t="str">
            <v/>
          </cell>
          <cell r="AH137">
            <v>0</v>
          </cell>
          <cell r="AI137">
            <v>0</v>
          </cell>
          <cell r="AJ137" t="e">
            <v>#N/A</v>
          </cell>
          <cell r="AK137" t="e">
            <v>#N/A</v>
          </cell>
          <cell r="AL137" t="e">
            <v>#N/A</v>
          </cell>
          <cell r="AM137" t="str">
            <v/>
          </cell>
          <cell r="AN137">
            <v>0</v>
          </cell>
          <cell r="AO137" t="str">
            <v/>
          </cell>
          <cell r="AP137">
            <v>0</v>
          </cell>
          <cell r="AQ137" t="str">
            <v/>
          </cell>
          <cell r="AR137">
            <v>0</v>
          </cell>
          <cell r="AS137" t="str">
            <v/>
          </cell>
          <cell r="AT137" t="str">
            <v/>
          </cell>
          <cell r="AU137">
            <v>0</v>
          </cell>
          <cell r="AV137" t="str">
            <v/>
          </cell>
          <cell r="AW137" t="e">
            <v>#N/A</v>
          </cell>
          <cell r="AX137" t="e">
            <v>#N/A</v>
          </cell>
          <cell r="AY137" t="str">
            <v/>
          </cell>
          <cell r="AZ137">
            <v>0</v>
          </cell>
          <cell r="BA137" t="str">
            <v/>
          </cell>
          <cell r="BB137">
            <v>0</v>
          </cell>
          <cell r="BC137" t="str">
            <v/>
          </cell>
        </row>
        <row r="159">
          <cell r="F159">
            <v>0</v>
          </cell>
          <cell r="G159">
            <v>0</v>
          </cell>
          <cell r="H159">
            <v>0</v>
          </cell>
        </row>
        <row r="186">
          <cell r="G186">
            <v>0</v>
          </cell>
          <cell r="H186">
            <v>0</v>
          </cell>
          <cell r="I186">
            <v>0</v>
          </cell>
        </row>
        <row r="212">
          <cell r="G212">
            <v>0</v>
          </cell>
          <cell r="H212">
            <v>0</v>
          </cell>
          <cell r="I212">
            <v>0</v>
          </cell>
        </row>
        <row r="242">
          <cell r="G242">
            <v>0</v>
          </cell>
          <cell r="H242">
            <v>0</v>
          </cell>
          <cell r="I242">
            <v>0</v>
          </cell>
        </row>
        <row r="251">
          <cell r="F251">
            <v>0</v>
          </cell>
        </row>
      </sheetData>
      <sheetData sheetId="15" refreshError="1">
        <row r="123">
          <cell r="E123">
            <v>0</v>
          </cell>
        </row>
        <row r="152">
          <cell r="E152">
            <v>0</v>
          </cell>
        </row>
        <row r="153">
          <cell r="E153">
            <v>0</v>
          </cell>
        </row>
        <row r="167">
          <cell r="D167">
            <v>0</v>
          </cell>
          <cell r="E167">
            <v>0</v>
          </cell>
          <cell r="F167">
            <v>0</v>
          </cell>
        </row>
        <row r="176">
          <cell r="E176">
            <v>0</v>
          </cell>
          <cell r="F176">
            <v>0</v>
          </cell>
        </row>
      </sheetData>
      <sheetData sheetId="16" refreshError="1">
        <row r="109">
          <cell r="E109">
            <v>0</v>
          </cell>
        </row>
        <row r="110">
          <cell r="E110">
            <v>0</v>
          </cell>
        </row>
        <row r="120">
          <cell r="D120">
            <v>0</v>
          </cell>
          <cell r="E120">
            <v>0</v>
          </cell>
        </row>
      </sheetData>
      <sheetData sheetId="17" refreshError="1">
        <row r="71">
          <cell r="F71">
            <v>0</v>
          </cell>
          <cell r="G71">
            <v>0</v>
          </cell>
          <cell r="H71">
            <v>0</v>
          </cell>
        </row>
        <row r="105">
          <cell r="E105">
            <v>0</v>
          </cell>
          <cell r="F105">
            <v>0</v>
          </cell>
          <cell r="G105">
            <v>0</v>
          </cell>
        </row>
        <row r="139">
          <cell r="E139">
            <v>0</v>
          </cell>
          <cell r="F139">
            <v>0</v>
          </cell>
          <cell r="G139">
            <v>0</v>
          </cell>
        </row>
        <row r="171">
          <cell r="E171">
            <v>0</v>
          </cell>
          <cell r="F171">
            <v>0</v>
          </cell>
          <cell r="G171">
            <v>0</v>
          </cell>
        </row>
        <row r="179">
          <cell r="E179">
            <v>0</v>
          </cell>
        </row>
      </sheetData>
      <sheetData sheetId="18" refreshError="1">
        <row r="52">
          <cell r="AF52" t="str">
            <v/>
          </cell>
          <cell r="AG52" t="str">
            <v/>
          </cell>
          <cell r="AH52">
            <v>0</v>
          </cell>
          <cell r="AI52">
            <v>0</v>
          </cell>
          <cell r="AJ52" t="e">
            <v>#N/A</v>
          </cell>
          <cell r="AK52" t="e">
            <v>#N/A</v>
          </cell>
          <cell r="AL52" t="e">
            <v>#N/A</v>
          </cell>
          <cell r="AM52" t="str">
            <v/>
          </cell>
          <cell r="AN52">
            <v>0</v>
          </cell>
          <cell r="AO52" t="str">
            <v/>
          </cell>
          <cell r="AP52">
            <v>0</v>
          </cell>
          <cell r="AQ52" t="str">
            <v/>
          </cell>
          <cell r="AR52">
            <v>0</v>
          </cell>
          <cell r="AS52" t="str">
            <v/>
          </cell>
          <cell r="AT52" t="str">
            <v/>
          </cell>
          <cell r="AU52">
            <v>0</v>
          </cell>
          <cell r="AV52" t="e">
            <v>#N/A</v>
          </cell>
          <cell r="AW52" t="e">
            <v>#N/A</v>
          </cell>
          <cell r="AX52" t="e">
            <v>#N/A</v>
          </cell>
          <cell r="AY52" t="str">
            <v/>
          </cell>
          <cell r="AZ52">
            <v>0</v>
          </cell>
          <cell r="BA52" t="str">
            <v/>
          </cell>
          <cell r="BB52">
            <v>0</v>
          </cell>
          <cell r="BC52" t="str">
            <v/>
          </cell>
        </row>
        <row r="53">
          <cell r="AF53" t="str">
            <v/>
          </cell>
          <cell r="AG53" t="str">
            <v/>
          </cell>
          <cell r="AH53">
            <v>0</v>
          </cell>
          <cell r="AI53">
            <v>0</v>
          </cell>
          <cell r="AJ53" t="e">
            <v>#N/A</v>
          </cell>
          <cell r="AK53" t="e">
            <v>#N/A</v>
          </cell>
          <cell r="AL53" t="e">
            <v>#N/A</v>
          </cell>
          <cell r="AM53" t="str">
            <v/>
          </cell>
          <cell r="AN53">
            <v>0</v>
          </cell>
          <cell r="AO53" t="str">
            <v/>
          </cell>
          <cell r="AP53">
            <v>0</v>
          </cell>
          <cell r="AQ53" t="str">
            <v/>
          </cell>
          <cell r="AR53">
            <v>0</v>
          </cell>
          <cell r="AS53" t="str">
            <v/>
          </cell>
          <cell r="AT53" t="str">
            <v/>
          </cell>
          <cell r="AU53">
            <v>0</v>
          </cell>
          <cell r="AV53" t="e">
            <v>#N/A</v>
          </cell>
          <cell r="AW53" t="e">
            <v>#N/A</v>
          </cell>
          <cell r="AX53" t="e">
            <v>#N/A</v>
          </cell>
          <cell r="AY53" t="str">
            <v/>
          </cell>
          <cell r="AZ53">
            <v>0</v>
          </cell>
          <cell r="BA53" t="str">
            <v/>
          </cell>
          <cell r="BB53">
            <v>0</v>
          </cell>
          <cell r="BC53" t="str">
            <v/>
          </cell>
        </row>
        <row r="54">
          <cell r="AF54" t="str">
            <v/>
          </cell>
          <cell r="AG54" t="str">
            <v/>
          </cell>
          <cell r="AH54">
            <v>0</v>
          </cell>
          <cell r="AI54">
            <v>0</v>
          </cell>
          <cell r="AJ54" t="e">
            <v>#N/A</v>
          </cell>
          <cell r="AK54" t="e">
            <v>#N/A</v>
          </cell>
          <cell r="AL54" t="e">
            <v>#N/A</v>
          </cell>
          <cell r="AM54" t="str">
            <v/>
          </cell>
          <cell r="AN54">
            <v>0</v>
          </cell>
          <cell r="AO54" t="str">
            <v/>
          </cell>
          <cell r="AP54">
            <v>0</v>
          </cell>
          <cell r="AQ54" t="str">
            <v/>
          </cell>
          <cell r="AR54">
            <v>0</v>
          </cell>
          <cell r="AS54" t="str">
            <v/>
          </cell>
          <cell r="AT54" t="str">
            <v/>
          </cell>
          <cell r="AU54">
            <v>0</v>
          </cell>
          <cell r="AV54" t="e">
            <v>#N/A</v>
          </cell>
          <cell r="AW54" t="e">
            <v>#N/A</v>
          </cell>
          <cell r="AX54" t="e">
            <v>#N/A</v>
          </cell>
          <cell r="AY54" t="str">
            <v/>
          </cell>
          <cell r="AZ54">
            <v>0</v>
          </cell>
          <cell r="BA54" t="str">
            <v/>
          </cell>
          <cell r="BB54">
            <v>0</v>
          </cell>
          <cell r="BC54" t="str">
            <v/>
          </cell>
        </row>
        <row r="55">
          <cell r="AF55" t="str">
            <v/>
          </cell>
          <cell r="AG55" t="str">
            <v/>
          </cell>
          <cell r="AH55">
            <v>0</v>
          </cell>
          <cell r="AI55">
            <v>0</v>
          </cell>
          <cell r="AJ55" t="e">
            <v>#N/A</v>
          </cell>
          <cell r="AK55" t="e">
            <v>#N/A</v>
          </cell>
          <cell r="AL55" t="e">
            <v>#N/A</v>
          </cell>
          <cell r="AM55" t="str">
            <v/>
          </cell>
          <cell r="AN55">
            <v>0</v>
          </cell>
          <cell r="AO55" t="str">
            <v/>
          </cell>
          <cell r="AP55">
            <v>0</v>
          </cell>
          <cell r="AQ55" t="str">
            <v/>
          </cell>
          <cell r="AR55">
            <v>0</v>
          </cell>
          <cell r="AS55" t="str">
            <v/>
          </cell>
          <cell r="AT55" t="str">
            <v/>
          </cell>
          <cell r="AU55">
            <v>0</v>
          </cell>
          <cell r="AV55" t="e">
            <v>#N/A</v>
          </cell>
          <cell r="AW55" t="e">
            <v>#N/A</v>
          </cell>
          <cell r="AX55" t="e">
            <v>#N/A</v>
          </cell>
          <cell r="AY55" t="str">
            <v/>
          </cell>
          <cell r="AZ55">
            <v>0</v>
          </cell>
          <cell r="BA55" t="str">
            <v/>
          </cell>
          <cell r="BB55">
            <v>0</v>
          </cell>
          <cell r="BC55" t="str">
            <v/>
          </cell>
        </row>
        <row r="56">
          <cell r="AF56" t="str">
            <v/>
          </cell>
          <cell r="AG56" t="str">
            <v/>
          </cell>
          <cell r="AH56">
            <v>0</v>
          </cell>
          <cell r="AI56">
            <v>0</v>
          </cell>
          <cell r="AJ56" t="e">
            <v>#N/A</v>
          </cell>
          <cell r="AK56" t="e">
            <v>#N/A</v>
          </cell>
          <cell r="AL56" t="e">
            <v>#N/A</v>
          </cell>
          <cell r="AM56" t="str">
            <v/>
          </cell>
          <cell r="AN56">
            <v>0</v>
          </cell>
          <cell r="AO56" t="str">
            <v/>
          </cell>
          <cell r="AP56">
            <v>0</v>
          </cell>
          <cell r="AQ56" t="str">
            <v/>
          </cell>
          <cell r="AR56">
            <v>0</v>
          </cell>
          <cell r="AS56" t="str">
            <v/>
          </cell>
          <cell r="AT56" t="str">
            <v/>
          </cell>
          <cell r="AU56">
            <v>0</v>
          </cell>
          <cell r="AV56" t="e">
            <v>#N/A</v>
          </cell>
          <cell r="AW56" t="e">
            <v>#N/A</v>
          </cell>
          <cell r="AX56" t="e">
            <v>#N/A</v>
          </cell>
          <cell r="AY56" t="str">
            <v/>
          </cell>
          <cell r="AZ56">
            <v>0</v>
          </cell>
          <cell r="BA56" t="str">
            <v/>
          </cell>
          <cell r="BB56">
            <v>0</v>
          </cell>
          <cell r="BC56" t="str">
            <v/>
          </cell>
        </row>
        <row r="57">
          <cell r="AF57" t="str">
            <v/>
          </cell>
          <cell r="AG57" t="str">
            <v/>
          </cell>
          <cell r="AH57">
            <v>0</v>
          </cell>
          <cell r="AI57">
            <v>0</v>
          </cell>
          <cell r="AJ57" t="e">
            <v>#N/A</v>
          </cell>
          <cell r="AK57" t="e">
            <v>#N/A</v>
          </cell>
          <cell r="AL57" t="e">
            <v>#N/A</v>
          </cell>
          <cell r="AM57" t="str">
            <v/>
          </cell>
          <cell r="AN57">
            <v>0</v>
          </cell>
          <cell r="AO57" t="str">
            <v/>
          </cell>
          <cell r="AP57">
            <v>0</v>
          </cell>
          <cell r="AQ57" t="str">
            <v/>
          </cell>
          <cell r="AR57">
            <v>0</v>
          </cell>
          <cell r="AS57" t="str">
            <v/>
          </cell>
          <cell r="AT57" t="str">
            <v/>
          </cell>
          <cell r="AU57">
            <v>0</v>
          </cell>
          <cell r="AV57" t="e">
            <v>#N/A</v>
          </cell>
          <cell r="AW57" t="e">
            <v>#N/A</v>
          </cell>
          <cell r="AX57" t="e">
            <v>#N/A</v>
          </cell>
          <cell r="AY57" t="str">
            <v/>
          </cell>
          <cell r="AZ57">
            <v>0</v>
          </cell>
          <cell r="BA57" t="str">
            <v/>
          </cell>
          <cell r="BB57">
            <v>0</v>
          </cell>
          <cell r="BC57" t="str">
            <v/>
          </cell>
        </row>
        <row r="58">
          <cell r="AF58" t="str">
            <v/>
          </cell>
          <cell r="AG58" t="str">
            <v/>
          </cell>
          <cell r="AH58">
            <v>0</v>
          </cell>
          <cell r="AI58">
            <v>0</v>
          </cell>
          <cell r="AJ58" t="e">
            <v>#N/A</v>
          </cell>
          <cell r="AK58" t="e">
            <v>#N/A</v>
          </cell>
          <cell r="AL58" t="e">
            <v>#N/A</v>
          </cell>
          <cell r="AM58" t="str">
            <v/>
          </cell>
          <cell r="AN58">
            <v>0</v>
          </cell>
          <cell r="AO58" t="str">
            <v/>
          </cell>
          <cell r="AP58">
            <v>0</v>
          </cell>
          <cell r="AQ58" t="str">
            <v/>
          </cell>
          <cell r="AR58">
            <v>0</v>
          </cell>
          <cell r="AS58" t="str">
            <v/>
          </cell>
          <cell r="AT58" t="str">
            <v/>
          </cell>
          <cell r="AU58">
            <v>0</v>
          </cell>
          <cell r="AV58" t="e">
            <v>#N/A</v>
          </cell>
          <cell r="AW58" t="e">
            <v>#N/A</v>
          </cell>
          <cell r="AX58" t="e">
            <v>#N/A</v>
          </cell>
          <cell r="AY58" t="str">
            <v/>
          </cell>
          <cell r="AZ58">
            <v>0</v>
          </cell>
          <cell r="BA58" t="str">
            <v/>
          </cell>
          <cell r="BB58">
            <v>0</v>
          </cell>
          <cell r="BC58" t="str">
            <v/>
          </cell>
        </row>
        <row r="59">
          <cell r="AF59" t="str">
            <v/>
          </cell>
          <cell r="AG59" t="str">
            <v/>
          </cell>
          <cell r="AH59">
            <v>0</v>
          </cell>
          <cell r="AI59">
            <v>0</v>
          </cell>
          <cell r="AJ59" t="e">
            <v>#N/A</v>
          </cell>
          <cell r="AK59" t="e">
            <v>#N/A</v>
          </cell>
          <cell r="AL59" t="e">
            <v>#N/A</v>
          </cell>
          <cell r="AM59" t="str">
            <v/>
          </cell>
          <cell r="AN59">
            <v>0</v>
          </cell>
          <cell r="AO59" t="str">
            <v/>
          </cell>
          <cell r="AP59">
            <v>0</v>
          </cell>
          <cell r="AQ59" t="str">
            <v/>
          </cell>
          <cell r="AR59">
            <v>0</v>
          </cell>
          <cell r="AS59" t="str">
            <v/>
          </cell>
          <cell r="AT59" t="str">
            <v/>
          </cell>
          <cell r="AU59">
            <v>0</v>
          </cell>
          <cell r="AV59" t="e">
            <v>#N/A</v>
          </cell>
          <cell r="AW59" t="e">
            <v>#N/A</v>
          </cell>
          <cell r="AX59" t="e">
            <v>#N/A</v>
          </cell>
          <cell r="AY59" t="str">
            <v/>
          </cell>
          <cell r="AZ59">
            <v>0</v>
          </cell>
          <cell r="BA59" t="str">
            <v/>
          </cell>
          <cell r="BB59">
            <v>0</v>
          </cell>
          <cell r="BC59" t="str">
            <v/>
          </cell>
        </row>
        <row r="60">
          <cell r="AF60" t="str">
            <v/>
          </cell>
          <cell r="AG60" t="str">
            <v/>
          </cell>
          <cell r="AH60">
            <v>0</v>
          </cell>
          <cell r="AI60">
            <v>0</v>
          </cell>
          <cell r="AJ60" t="e">
            <v>#N/A</v>
          </cell>
          <cell r="AK60" t="e">
            <v>#N/A</v>
          </cell>
          <cell r="AL60" t="e">
            <v>#N/A</v>
          </cell>
          <cell r="AM60" t="str">
            <v/>
          </cell>
          <cell r="AN60">
            <v>0</v>
          </cell>
          <cell r="AO60" t="str">
            <v/>
          </cell>
          <cell r="AP60">
            <v>0</v>
          </cell>
          <cell r="AQ60" t="str">
            <v/>
          </cell>
          <cell r="AR60">
            <v>0</v>
          </cell>
          <cell r="AS60" t="str">
            <v/>
          </cell>
          <cell r="AT60" t="str">
            <v/>
          </cell>
          <cell r="AU60">
            <v>0</v>
          </cell>
          <cell r="AV60" t="e">
            <v>#N/A</v>
          </cell>
          <cell r="AW60" t="e">
            <v>#N/A</v>
          </cell>
          <cell r="AX60" t="e">
            <v>#N/A</v>
          </cell>
          <cell r="AY60" t="str">
            <v/>
          </cell>
          <cell r="AZ60">
            <v>0</v>
          </cell>
          <cell r="BA60" t="str">
            <v/>
          </cell>
          <cell r="BB60">
            <v>0</v>
          </cell>
          <cell r="BC60" t="str">
            <v/>
          </cell>
        </row>
        <row r="61">
          <cell r="AF61" t="str">
            <v/>
          </cell>
          <cell r="AG61" t="str">
            <v/>
          </cell>
          <cell r="AH61">
            <v>0</v>
          </cell>
          <cell r="AI61">
            <v>0</v>
          </cell>
          <cell r="AJ61" t="e">
            <v>#N/A</v>
          </cell>
          <cell r="AK61" t="e">
            <v>#N/A</v>
          </cell>
          <cell r="AL61" t="e">
            <v>#N/A</v>
          </cell>
          <cell r="AM61" t="str">
            <v/>
          </cell>
          <cell r="AN61">
            <v>0</v>
          </cell>
          <cell r="AO61" t="str">
            <v/>
          </cell>
          <cell r="AP61">
            <v>0</v>
          </cell>
          <cell r="AQ61" t="str">
            <v/>
          </cell>
          <cell r="AR61">
            <v>0</v>
          </cell>
          <cell r="AS61" t="str">
            <v/>
          </cell>
          <cell r="AT61" t="str">
            <v/>
          </cell>
          <cell r="AU61">
            <v>0</v>
          </cell>
          <cell r="AV61" t="e">
            <v>#N/A</v>
          </cell>
          <cell r="AW61" t="e">
            <v>#N/A</v>
          </cell>
          <cell r="AX61" t="e">
            <v>#N/A</v>
          </cell>
          <cell r="AY61" t="str">
            <v/>
          </cell>
          <cell r="AZ61">
            <v>0</v>
          </cell>
          <cell r="BA61" t="str">
            <v/>
          </cell>
          <cell r="BB61">
            <v>0</v>
          </cell>
          <cell r="BC61" t="str">
            <v/>
          </cell>
        </row>
        <row r="62">
          <cell r="AF62" t="str">
            <v/>
          </cell>
          <cell r="AG62" t="str">
            <v/>
          </cell>
          <cell r="AH62">
            <v>0</v>
          </cell>
          <cell r="AI62">
            <v>0</v>
          </cell>
          <cell r="AJ62" t="e">
            <v>#N/A</v>
          </cell>
          <cell r="AK62" t="e">
            <v>#N/A</v>
          </cell>
          <cell r="AL62" t="e">
            <v>#N/A</v>
          </cell>
          <cell r="AM62" t="str">
            <v/>
          </cell>
          <cell r="AN62">
            <v>0</v>
          </cell>
          <cell r="AO62" t="str">
            <v/>
          </cell>
          <cell r="AP62">
            <v>0</v>
          </cell>
          <cell r="AQ62" t="str">
            <v/>
          </cell>
          <cell r="AR62">
            <v>0</v>
          </cell>
          <cell r="AS62" t="str">
            <v/>
          </cell>
          <cell r="AT62" t="str">
            <v/>
          </cell>
          <cell r="AU62">
            <v>0</v>
          </cell>
          <cell r="AV62" t="e">
            <v>#N/A</v>
          </cell>
          <cell r="AW62" t="e">
            <v>#N/A</v>
          </cell>
          <cell r="AX62" t="e">
            <v>#N/A</v>
          </cell>
          <cell r="AY62" t="str">
            <v/>
          </cell>
          <cell r="AZ62">
            <v>0</v>
          </cell>
          <cell r="BA62" t="str">
            <v/>
          </cell>
          <cell r="BB62">
            <v>0</v>
          </cell>
          <cell r="BC62" t="str">
            <v/>
          </cell>
        </row>
        <row r="63">
          <cell r="AF63" t="str">
            <v/>
          </cell>
          <cell r="AG63" t="str">
            <v/>
          </cell>
          <cell r="AH63">
            <v>0</v>
          </cell>
          <cell r="AI63">
            <v>0</v>
          </cell>
          <cell r="AJ63" t="e">
            <v>#N/A</v>
          </cell>
          <cell r="AK63" t="e">
            <v>#N/A</v>
          </cell>
          <cell r="AL63" t="e">
            <v>#N/A</v>
          </cell>
          <cell r="AM63" t="str">
            <v/>
          </cell>
          <cell r="AN63">
            <v>0</v>
          </cell>
          <cell r="AO63" t="str">
            <v/>
          </cell>
          <cell r="AP63">
            <v>0</v>
          </cell>
          <cell r="AQ63" t="str">
            <v/>
          </cell>
          <cell r="AR63">
            <v>0</v>
          </cell>
          <cell r="AS63" t="str">
            <v/>
          </cell>
          <cell r="AT63" t="str">
            <v/>
          </cell>
          <cell r="AU63">
            <v>0</v>
          </cell>
          <cell r="AV63" t="e">
            <v>#N/A</v>
          </cell>
          <cell r="AW63" t="e">
            <v>#N/A</v>
          </cell>
          <cell r="AX63" t="e">
            <v>#N/A</v>
          </cell>
          <cell r="AY63" t="str">
            <v/>
          </cell>
          <cell r="AZ63">
            <v>0</v>
          </cell>
          <cell r="BA63" t="str">
            <v/>
          </cell>
          <cell r="BB63">
            <v>0</v>
          </cell>
          <cell r="BC63" t="str">
            <v/>
          </cell>
        </row>
        <row r="64">
          <cell r="AF64" t="str">
            <v/>
          </cell>
          <cell r="AG64" t="str">
            <v/>
          </cell>
          <cell r="AH64">
            <v>0</v>
          </cell>
          <cell r="AI64">
            <v>0</v>
          </cell>
          <cell r="AJ64" t="e">
            <v>#N/A</v>
          </cell>
          <cell r="AK64" t="e">
            <v>#N/A</v>
          </cell>
          <cell r="AL64" t="e">
            <v>#N/A</v>
          </cell>
          <cell r="AM64" t="str">
            <v/>
          </cell>
          <cell r="AN64">
            <v>0</v>
          </cell>
          <cell r="AO64" t="str">
            <v/>
          </cell>
          <cell r="AP64">
            <v>0</v>
          </cell>
          <cell r="AQ64" t="str">
            <v/>
          </cell>
          <cell r="AR64">
            <v>0</v>
          </cell>
          <cell r="AS64" t="str">
            <v/>
          </cell>
          <cell r="AT64" t="str">
            <v/>
          </cell>
          <cell r="AU64">
            <v>0</v>
          </cell>
          <cell r="AV64" t="e">
            <v>#N/A</v>
          </cell>
          <cell r="AW64" t="e">
            <v>#N/A</v>
          </cell>
          <cell r="AX64" t="e">
            <v>#N/A</v>
          </cell>
          <cell r="AY64" t="str">
            <v/>
          </cell>
          <cell r="AZ64">
            <v>0</v>
          </cell>
          <cell r="BA64" t="str">
            <v/>
          </cell>
          <cell r="BB64">
            <v>0</v>
          </cell>
          <cell r="BC64" t="str">
            <v/>
          </cell>
        </row>
        <row r="65">
          <cell r="AF65" t="str">
            <v/>
          </cell>
          <cell r="AG65" t="str">
            <v/>
          </cell>
          <cell r="AH65">
            <v>0</v>
          </cell>
          <cell r="AI65">
            <v>0</v>
          </cell>
          <cell r="AJ65" t="e">
            <v>#N/A</v>
          </cell>
          <cell r="AK65" t="e">
            <v>#N/A</v>
          </cell>
          <cell r="AL65" t="e">
            <v>#N/A</v>
          </cell>
          <cell r="AM65" t="str">
            <v/>
          </cell>
          <cell r="AN65">
            <v>0</v>
          </cell>
          <cell r="AO65" t="str">
            <v/>
          </cell>
          <cell r="AP65">
            <v>0</v>
          </cell>
          <cell r="AQ65" t="str">
            <v/>
          </cell>
          <cell r="AR65">
            <v>0</v>
          </cell>
          <cell r="AS65" t="str">
            <v/>
          </cell>
          <cell r="AT65" t="str">
            <v/>
          </cell>
          <cell r="AU65">
            <v>0</v>
          </cell>
          <cell r="AV65" t="e">
            <v>#N/A</v>
          </cell>
          <cell r="AW65" t="e">
            <v>#N/A</v>
          </cell>
          <cell r="AX65" t="e">
            <v>#N/A</v>
          </cell>
          <cell r="AY65" t="str">
            <v/>
          </cell>
          <cell r="AZ65">
            <v>0</v>
          </cell>
          <cell r="BA65" t="str">
            <v/>
          </cell>
          <cell r="BB65">
            <v>0</v>
          </cell>
          <cell r="BC65" t="str">
            <v/>
          </cell>
        </row>
        <row r="66">
          <cell r="AF66" t="str">
            <v/>
          </cell>
          <cell r="AG66" t="str">
            <v/>
          </cell>
          <cell r="AH66">
            <v>0</v>
          </cell>
          <cell r="AI66">
            <v>0</v>
          </cell>
          <cell r="AJ66" t="e">
            <v>#N/A</v>
          </cell>
          <cell r="AK66" t="e">
            <v>#N/A</v>
          </cell>
          <cell r="AL66" t="e">
            <v>#N/A</v>
          </cell>
          <cell r="AM66" t="str">
            <v/>
          </cell>
          <cell r="AN66">
            <v>0</v>
          </cell>
          <cell r="AO66" t="str">
            <v/>
          </cell>
          <cell r="AP66">
            <v>0</v>
          </cell>
          <cell r="AQ66" t="str">
            <v/>
          </cell>
          <cell r="AR66">
            <v>0</v>
          </cell>
          <cell r="AS66" t="str">
            <v/>
          </cell>
          <cell r="AT66" t="str">
            <v/>
          </cell>
          <cell r="AU66">
            <v>0</v>
          </cell>
          <cell r="AV66" t="e">
            <v>#N/A</v>
          </cell>
          <cell r="AW66" t="e">
            <v>#N/A</v>
          </cell>
          <cell r="AX66" t="e">
            <v>#N/A</v>
          </cell>
          <cell r="AY66" t="str">
            <v/>
          </cell>
          <cell r="AZ66">
            <v>0</v>
          </cell>
          <cell r="BA66" t="str">
            <v/>
          </cell>
          <cell r="BB66">
            <v>0</v>
          </cell>
          <cell r="BC66" t="str">
            <v/>
          </cell>
        </row>
        <row r="67">
          <cell r="AF67" t="str">
            <v/>
          </cell>
          <cell r="AG67" t="str">
            <v/>
          </cell>
          <cell r="AH67">
            <v>0</v>
          </cell>
          <cell r="AI67">
            <v>0</v>
          </cell>
          <cell r="AJ67" t="e">
            <v>#N/A</v>
          </cell>
          <cell r="AK67" t="e">
            <v>#N/A</v>
          </cell>
          <cell r="AL67" t="e">
            <v>#N/A</v>
          </cell>
          <cell r="AM67" t="str">
            <v/>
          </cell>
          <cell r="AN67">
            <v>0</v>
          </cell>
          <cell r="AO67" t="str">
            <v/>
          </cell>
          <cell r="AP67">
            <v>0</v>
          </cell>
          <cell r="AQ67" t="str">
            <v/>
          </cell>
          <cell r="AR67">
            <v>0</v>
          </cell>
          <cell r="AS67" t="str">
            <v/>
          </cell>
          <cell r="AT67" t="str">
            <v/>
          </cell>
          <cell r="AU67">
            <v>0</v>
          </cell>
          <cell r="AV67" t="e">
            <v>#N/A</v>
          </cell>
          <cell r="AW67" t="e">
            <v>#N/A</v>
          </cell>
          <cell r="AX67" t="e">
            <v>#N/A</v>
          </cell>
          <cell r="AY67" t="str">
            <v/>
          </cell>
          <cell r="AZ67">
            <v>0</v>
          </cell>
          <cell r="BA67" t="str">
            <v/>
          </cell>
          <cell r="BB67">
            <v>0</v>
          </cell>
          <cell r="BC67" t="str">
            <v/>
          </cell>
        </row>
        <row r="68">
          <cell r="AF68" t="str">
            <v/>
          </cell>
          <cell r="AG68" t="str">
            <v/>
          </cell>
          <cell r="AH68">
            <v>0</v>
          </cell>
          <cell r="AI68">
            <v>0</v>
          </cell>
          <cell r="AJ68" t="e">
            <v>#N/A</v>
          </cell>
          <cell r="AK68" t="e">
            <v>#N/A</v>
          </cell>
          <cell r="AL68" t="e">
            <v>#N/A</v>
          </cell>
          <cell r="AM68" t="str">
            <v/>
          </cell>
          <cell r="AN68">
            <v>0</v>
          </cell>
          <cell r="AO68" t="str">
            <v/>
          </cell>
          <cell r="AP68">
            <v>0</v>
          </cell>
          <cell r="AQ68" t="str">
            <v/>
          </cell>
          <cell r="AR68">
            <v>0</v>
          </cell>
          <cell r="AS68" t="str">
            <v/>
          </cell>
          <cell r="AT68" t="str">
            <v/>
          </cell>
          <cell r="AU68">
            <v>0</v>
          </cell>
          <cell r="AV68" t="e">
            <v>#N/A</v>
          </cell>
          <cell r="AW68" t="e">
            <v>#N/A</v>
          </cell>
          <cell r="AX68" t="e">
            <v>#N/A</v>
          </cell>
          <cell r="AY68" t="str">
            <v/>
          </cell>
          <cell r="AZ68">
            <v>0</v>
          </cell>
          <cell r="BA68" t="str">
            <v/>
          </cell>
          <cell r="BB68">
            <v>0</v>
          </cell>
          <cell r="BC68" t="str">
            <v/>
          </cell>
        </row>
        <row r="69">
          <cell r="AF69" t="str">
            <v/>
          </cell>
          <cell r="AG69" t="str">
            <v/>
          </cell>
          <cell r="AH69">
            <v>0</v>
          </cell>
          <cell r="AI69">
            <v>0</v>
          </cell>
          <cell r="AJ69" t="e">
            <v>#N/A</v>
          </cell>
          <cell r="AK69" t="e">
            <v>#N/A</v>
          </cell>
          <cell r="AL69" t="e">
            <v>#N/A</v>
          </cell>
          <cell r="AM69" t="str">
            <v/>
          </cell>
          <cell r="AN69">
            <v>0</v>
          </cell>
          <cell r="AO69" t="str">
            <v/>
          </cell>
          <cell r="AP69">
            <v>0</v>
          </cell>
          <cell r="AQ69" t="str">
            <v/>
          </cell>
          <cell r="AR69">
            <v>0</v>
          </cell>
          <cell r="AS69" t="str">
            <v/>
          </cell>
          <cell r="AT69" t="str">
            <v/>
          </cell>
          <cell r="AU69">
            <v>0</v>
          </cell>
          <cell r="AV69" t="e">
            <v>#N/A</v>
          </cell>
          <cell r="AW69" t="e">
            <v>#N/A</v>
          </cell>
          <cell r="AX69" t="e">
            <v>#N/A</v>
          </cell>
          <cell r="AY69" t="str">
            <v/>
          </cell>
          <cell r="AZ69">
            <v>0</v>
          </cell>
          <cell r="BA69" t="str">
            <v/>
          </cell>
          <cell r="BB69">
            <v>0</v>
          </cell>
          <cell r="BC69" t="str">
            <v/>
          </cell>
        </row>
        <row r="70">
          <cell r="AF70" t="str">
            <v/>
          </cell>
          <cell r="AG70" t="str">
            <v/>
          </cell>
          <cell r="AH70">
            <v>0</v>
          </cell>
          <cell r="AI70">
            <v>0</v>
          </cell>
          <cell r="AJ70" t="e">
            <v>#N/A</v>
          </cell>
          <cell r="AK70" t="e">
            <v>#N/A</v>
          </cell>
          <cell r="AL70" t="e">
            <v>#N/A</v>
          </cell>
          <cell r="AM70" t="str">
            <v/>
          </cell>
          <cell r="AN70">
            <v>0</v>
          </cell>
          <cell r="AO70" t="str">
            <v/>
          </cell>
          <cell r="AP70">
            <v>0</v>
          </cell>
          <cell r="AQ70" t="str">
            <v/>
          </cell>
          <cell r="AR70">
            <v>0</v>
          </cell>
          <cell r="AS70" t="str">
            <v/>
          </cell>
          <cell r="AT70" t="str">
            <v/>
          </cell>
          <cell r="AU70">
            <v>0</v>
          </cell>
          <cell r="AV70" t="e">
            <v>#N/A</v>
          </cell>
          <cell r="AW70" t="e">
            <v>#N/A</v>
          </cell>
          <cell r="AX70" t="e">
            <v>#N/A</v>
          </cell>
          <cell r="AY70" t="str">
            <v/>
          </cell>
          <cell r="AZ70">
            <v>0</v>
          </cell>
          <cell r="BA70" t="str">
            <v/>
          </cell>
          <cell r="BB70">
            <v>0</v>
          </cell>
          <cell r="BC70" t="str">
            <v/>
          </cell>
        </row>
        <row r="71">
          <cell r="AF71" t="str">
            <v/>
          </cell>
          <cell r="AG71" t="str">
            <v/>
          </cell>
          <cell r="AH71">
            <v>0</v>
          </cell>
          <cell r="AI71">
            <v>0</v>
          </cell>
          <cell r="AJ71" t="e">
            <v>#N/A</v>
          </cell>
          <cell r="AK71" t="e">
            <v>#N/A</v>
          </cell>
          <cell r="AL71" t="e">
            <v>#N/A</v>
          </cell>
          <cell r="AM71" t="str">
            <v/>
          </cell>
          <cell r="AN71">
            <v>0</v>
          </cell>
          <cell r="AO71" t="str">
            <v/>
          </cell>
          <cell r="AP71">
            <v>0</v>
          </cell>
          <cell r="AQ71" t="str">
            <v/>
          </cell>
          <cell r="AR71">
            <v>0</v>
          </cell>
          <cell r="AS71" t="str">
            <v/>
          </cell>
          <cell r="AT71" t="str">
            <v/>
          </cell>
          <cell r="AU71">
            <v>0</v>
          </cell>
          <cell r="AV71" t="e">
            <v>#N/A</v>
          </cell>
          <cell r="AW71" t="e">
            <v>#N/A</v>
          </cell>
          <cell r="AX71" t="e">
            <v>#N/A</v>
          </cell>
          <cell r="AY71" t="str">
            <v/>
          </cell>
          <cell r="AZ71">
            <v>0</v>
          </cell>
          <cell r="BA71" t="str">
            <v/>
          </cell>
          <cell r="BB71">
            <v>0</v>
          </cell>
          <cell r="BC71" t="str">
            <v/>
          </cell>
        </row>
        <row r="72">
          <cell r="AF72" t="str">
            <v/>
          </cell>
          <cell r="AG72" t="str">
            <v/>
          </cell>
          <cell r="AH72">
            <v>0</v>
          </cell>
          <cell r="AI72">
            <v>0</v>
          </cell>
          <cell r="AJ72" t="e">
            <v>#N/A</v>
          </cell>
          <cell r="AK72" t="e">
            <v>#N/A</v>
          </cell>
          <cell r="AL72" t="e">
            <v>#N/A</v>
          </cell>
          <cell r="AM72" t="str">
            <v/>
          </cell>
          <cell r="AN72">
            <v>0</v>
          </cell>
          <cell r="AO72" t="str">
            <v/>
          </cell>
          <cell r="AP72">
            <v>0</v>
          </cell>
          <cell r="AQ72" t="str">
            <v/>
          </cell>
          <cell r="AR72">
            <v>0</v>
          </cell>
          <cell r="AS72" t="str">
            <v/>
          </cell>
          <cell r="AT72" t="str">
            <v/>
          </cell>
          <cell r="AU72">
            <v>0</v>
          </cell>
          <cell r="AV72" t="e">
            <v>#N/A</v>
          </cell>
          <cell r="AW72" t="e">
            <v>#N/A</v>
          </cell>
          <cell r="AX72" t="e">
            <v>#N/A</v>
          </cell>
          <cell r="AY72" t="str">
            <v/>
          </cell>
          <cell r="AZ72">
            <v>0</v>
          </cell>
          <cell r="BA72" t="str">
            <v/>
          </cell>
          <cell r="BB72">
            <v>0</v>
          </cell>
          <cell r="BC72" t="str">
            <v/>
          </cell>
        </row>
        <row r="73">
          <cell r="AF73" t="str">
            <v/>
          </cell>
          <cell r="AG73" t="str">
            <v/>
          </cell>
          <cell r="AH73">
            <v>0</v>
          </cell>
          <cell r="AI73">
            <v>0</v>
          </cell>
          <cell r="AJ73" t="e">
            <v>#N/A</v>
          </cell>
          <cell r="AK73" t="e">
            <v>#N/A</v>
          </cell>
          <cell r="AL73" t="e">
            <v>#N/A</v>
          </cell>
          <cell r="AM73" t="str">
            <v/>
          </cell>
          <cell r="AN73">
            <v>0</v>
          </cell>
          <cell r="AO73" t="str">
            <v/>
          </cell>
          <cell r="AP73">
            <v>0</v>
          </cell>
          <cell r="AQ73" t="str">
            <v/>
          </cell>
          <cell r="AR73">
            <v>0</v>
          </cell>
          <cell r="AS73" t="str">
            <v/>
          </cell>
          <cell r="AT73" t="str">
            <v/>
          </cell>
          <cell r="AU73">
            <v>0</v>
          </cell>
          <cell r="AV73" t="e">
            <v>#N/A</v>
          </cell>
          <cell r="AW73" t="e">
            <v>#N/A</v>
          </cell>
          <cell r="AX73" t="e">
            <v>#N/A</v>
          </cell>
          <cell r="AY73" t="str">
            <v/>
          </cell>
          <cell r="AZ73">
            <v>0</v>
          </cell>
          <cell r="BA73" t="str">
            <v/>
          </cell>
          <cell r="BB73">
            <v>0</v>
          </cell>
          <cell r="BC73" t="str">
            <v/>
          </cell>
        </row>
        <row r="74">
          <cell r="AF74" t="str">
            <v/>
          </cell>
          <cell r="AG74" t="str">
            <v/>
          </cell>
          <cell r="AH74">
            <v>0</v>
          </cell>
          <cell r="AI74">
            <v>0</v>
          </cell>
          <cell r="AJ74" t="e">
            <v>#N/A</v>
          </cell>
          <cell r="AK74" t="e">
            <v>#N/A</v>
          </cell>
          <cell r="AL74" t="e">
            <v>#N/A</v>
          </cell>
          <cell r="AM74" t="str">
            <v/>
          </cell>
          <cell r="AN74">
            <v>0</v>
          </cell>
          <cell r="AO74" t="str">
            <v/>
          </cell>
          <cell r="AP74">
            <v>0</v>
          </cell>
          <cell r="AQ74" t="str">
            <v/>
          </cell>
          <cell r="AR74">
            <v>0</v>
          </cell>
          <cell r="AS74" t="str">
            <v/>
          </cell>
          <cell r="AT74" t="str">
            <v/>
          </cell>
          <cell r="AU74">
            <v>0</v>
          </cell>
          <cell r="AV74" t="e">
            <v>#N/A</v>
          </cell>
          <cell r="AW74" t="e">
            <v>#N/A</v>
          </cell>
          <cell r="AX74" t="e">
            <v>#N/A</v>
          </cell>
          <cell r="AY74" t="str">
            <v/>
          </cell>
          <cell r="AZ74">
            <v>0</v>
          </cell>
          <cell r="BA74" t="str">
            <v/>
          </cell>
          <cell r="BB74">
            <v>0</v>
          </cell>
          <cell r="BC74" t="str">
            <v/>
          </cell>
        </row>
        <row r="75">
          <cell r="AF75" t="str">
            <v/>
          </cell>
          <cell r="AG75" t="str">
            <v/>
          </cell>
          <cell r="AH75">
            <v>0</v>
          </cell>
          <cell r="AI75">
            <v>0</v>
          </cell>
          <cell r="AJ75" t="e">
            <v>#N/A</v>
          </cell>
          <cell r="AK75" t="e">
            <v>#N/A</v>
          </cell>
          <cell r="AL75" t="e">
            <v>#N/A</v>
          </cell>
          <cell r="AM75" t="str">
            <v/>
          </cell>
          <cell r="AN75">
            <v>0</v>
          </cell>
          <cell r="AO75" t="str">
            <v/>
          </cell>
          <cell r="AP75">
            <v>0</v>
          </cell>
          <cell r="AQ75" t="str">
            <v/>
          </cell>
          <cell r="AR75">
            <v>0</v>
          </cell>
          <cell r="AS75" t="str">
            <v/>
          </cell>
          <cell r="AT75" t="str">
            <v/>
          </cell>
          <cell r="AU75">
            <v>0</v>
          </cell>
          <cell r="AV75" t="e">
            <v>#N/A</v>
          </cell>
          <cell r="AW75" t="e">
            <v>#N/A</v>
          </cell>
          <cell r="AX75" t="e">
            <v>#N/A</v>
          </cell>
          <cell r="AY75" t="str">
            <v/>
          </cell>
          <cell r="AZ75">
            <v>0</v>
          </cell>
          <cell r="BA75" t="str">
            <v/>
          </cell>
          <cell r="BB75">
            <v>0</v>
          </cell>
          <cell r="BC75" t="str">
            <v/>
          </cell>
        </row>
        <row r="76">
          <cell r="AF76" t="str">
            <v/>
          </cell>
          <cell r="AG76" t="str">
            <v/>
          </cell>
          <cell r="AH76">
            <v>0</v>
          </cell>
          <cell r="AI76">
            <v>0</v>
          </cell>
          <cell r="AJ76" t="e">
            <v>#N/A</v>
          </cell>
          <cell r="AK76" t="e">
            <v>#N/A</v>
          </cell>
          <cell r="AL76" t="e">
            <v>#N/A</v>
          </cell>
          <cell r="AM76" t="str">
            <v/>
          </cell>
          <cell r="AN76">
            <v>0</v>
          </cell>
          <cell r="AO76" t="str">
            <v/>
          </cell>
          <cell r="AP76">
            <v>0</v>
          </cell>
          <cell r="AQ76" t="str">
            <v/>
          </cell>
          <cell r="AR76">
            <v>0</v>
          </cell>
          <cell r="AS76" t="str">
            <v/>
          </cell>
          <cell r="AT76" t="str">
            <v/>
          </cell>
          <cell r="AU76">
            <v>0</v>
          </cell>
          <cell r="AV76" t="e">
            <v>#N/A</v>
          </cell>
          <cell r="AW76" t="e">
            <v>#N/A</v>
          </cell>
          <cell r="AX76" t="e">
            <v>#N/A</v>
          </cell>
          <cell r="AY76" t="str">
            <v/>
          </cell>
          <cell r="AZ76">
            <v>0</v>
          </cell>
          <cell r="BA76" t="str">
            <v/>
          </cell>
          <cell r="BB76">
            <v>0</v>
          </cell>
          <cell r="BC76" t="str">
            <v/>
          </cell>
        </row>
        <row r="77">
          <cell r="AF77" t="str">
            <v/>
          </cell>
          <cell r="AG77" t="str">
            <v/>
          </cell>
          <cell r="AH77">
            <v>0</v>
          </cell>
          <cell r="AI77">
            <v>0</v>
          </cell>
          <cell r="AJ77" t="e">
            <v>#N/A</v>
          </cell>
          <cell r="AK77" t="e">
            <v>#N/A</v>
          </cell>
          <cell r="AL77" t="e">
            <v>#N/A</v>
          </cell>
          <cell r="AM77" t="str">
            <v/>
          </cell>
          <cell r="AN77">
            <v>0</v>
          </cell>
          <cell r="AO77" t="str">
            <v/>
          </cell>
          <cell r="AP77">
            <v>0</v>
          </cell>
          <cell r="AQ77" t="str">
            <v/>
          </cell>
          <cell r="AR77">
            <v>0</v>
          </cell>
          <cell r="AS77" t="str">
            <v/>
          </cell>
          <cell r="AT77" t="str">
            <v/>
          </cell>
          <cell r="AU77">
            <v>0</v>
          </cell>
          <cell r="AV77" t="e">
            <v>#N/A</v>
          </cell>
          <cell r="AW77" t="e">
            <v>#N/A</v>
          </cell>
          <cell r="AX77" t="e">
            <v>#N/A</v>
          </cell>
          <cell r="AY77" t="str">
            <v/>
          </cell>
          <cell r="AZ77">
            <v>0</v>
          </cell>
          <cell r="BA77" t="str">
            <v/>
          </cell>
          <cell r="BB77">
            <v>0</v>
          </cell>
          <cell r="BC77" t="str">
            <v/>
          </cell>
        </row>
        <row r="78">
          <cell r="AF78" t="str">
            <v/>
          </cell>
          <cell r="AG78" t="str">
            <v/>
          </cell>
          <cell r="AH78">
            <v>0</v>
          </cell>
          <cell r="AI78">
            <v>0</v>
          </cell>
          <cell r="AJ78" t="e">
            <v>#N/A</v>
          </cell>
          <cell r="AK78" t="e">
            <v>#N/A</v>
          </cell>
          <cell r="AL78" t="e">
            <v>#N/A</v>
          </cell>
          <cell r="AM78" t="str">
            <v/>
          </cell>
          <cell r="AN78">
            <v>0</v>
          </cell>
          <cell r="AO78" t="str">
            <v/>
          </cell>
          <cell r="AP78">
            <v>0</v>
          </cell>
          <cell r="AQ78" t="str">
            <v/>
          </cell>
          <cell r="AR78">
            <v>0</v>
          </cell>
          <cell r="AS78" t="str">
            <v/>
          </cell>
          <cell r="AT78" t="str">
            <v/>
          </cell>
          <cell r="AU78">
            <v>0</v>
          </cell>
          <cell r="AV78" t="e">
            <v>#N/A</v>
          </cell>
          <cell r="AW78" t="e">
            <v>#N/A</v>
          </cell>
          <cell r="AX78" t="e">
            <v>#N/A</v>
          </cell>
          <cell r="AY78" t="str">
            <v/>
          </cell>
          <cell r="AZ78">
            <v>0</v>
          </cell>
          <cell r="BA78" t="str">
            <v/>
          </cell>
          <cell r="BB78">
            <v>0</v>
          </cell>
          <cell r="BC78" t="str">
            <v/>
          </cell>
        </row>
        <row r="79">
          <cell r="AF79" t="str">
            <v/>
          </cell>
          <cell r="AG79" t="str">
            <v/>
          </cell>
          <cell r="AH79">
            <v>0</v>
          </cell>
          <cell r="AI79">
            <v>0</v>
          </cell>
          <cell r="AJ79" t="e">
            <v>#N/A</v>
          </cell>
          <cell r="AK79" t="e">
            <v>#N/A</v>
          </cell>
          <cell r="AL79" t="e">
            <v>#N/A</v>
          </cell>
          <cell r="AM79" t="str">
            <v/>
          </cell>
          <cell r="AN79">
            <v>0</v>
          </cell>
          <cell r="AO79" t="str">
            <v/>
          </cell>
          <cell r="AP79">
            <v>0</v>
          </cell>
          <cell r="AQ79" t="str">
            <v/>
          </cell>
          <cell r="AR79">
            <v>0</v>
          </cell>
          <cell r="AS79" t="str">
            <v/>
          </cell>
          <cell r="AT79" t="str">
            <v/>
          </cell>
          <cell r="AU79">
            <v>0</v>
          </cell>
          <cell r="AV79" t="e">
            <v>#N/A</v>
          </cell>
          <cell r="AW79" t="e">
            <v>#N/A</v>
          </cell>
          <cell r="AX79" t="e">
            <v>#N/A</v>
          </cell>
          <cell r="AY79" t="str">
            <v/>
          </cell>
          <cell r="AZ79">
            <v>0</v>
          </cell>
          <cell r="BA79" t="str">
            <v/>
          </cell>
          <cell r="BB79">
            <v>0</v>
          </cell>
          <cell r="BC79" t="str">
            <v/>
          </cell>
        </row>
        <row r="80">
          <cell r="AF80" t="str">
            <v/>
          </cell>
          <cell r="AG80" t="str">
            <v/>
          </cell>
          <cell r="AH80">
            <v>0</v>
          </cell>
          <cell r="AI80">
            <v>0</v>
          </cell>
          <cell r="AJ80" t="e">
            <v>#N/A</v>
          </cell>
          <cell r="AK80" t="e">
            <v>#N/A</v>
          </cell>
          <cell r="AL80" t="e">
            <v>#N/A</v>
          </cell>
          <cell r="AM80" t="str">
            <v/>
          </cell>
          <cell r="AN80">
            <v>0</v>
          </cell>
          <cell r="AO80" t="str">
            <v/>
          </cell>
          <cell r="AP80">
            <v>0</v>
          </cell>
          <cell r="AQ80" t="str">
            <v/>
          </cell>
          <cell r="AR80">
            <v>0</v>
          </cell>
          <cell r="AS80" t="str">
            <v/>
          </cell>
          <cell r="AT80" t="str">
            <v/>
          </cell>
          <cell r="AU80">
            <v>0</v>
          </cell>
          <cell r="AV80" t="e">
            <v>#N/A</v>
          </cell>
          <cell r="AW80" t="e">
            <v>#N/A</v>
          </cell>
          <cell r="AX80" t="e">
            <v>#N/A</v>
          </cell>
          <cell r="AY80" t="str">
            <v/>
          </cell>
          <cell r="AZ80">
            <v>0</v>
          </cell>
          <cell r="BA80" t="str">
            <v/>
          </cell>
          <cell r="BB80">
            <v>0</v>
          </cell>
          <cell r="BC80" t="str">
            <v/>
          </cell>
        </row>
        <row r="81">
          <cell r="AF81" t="str">
            <v/>
          </cell>
          <cell r="AG81" t="str">
            <v/>
          </cell>
          <cell r="AH81">
            <v>0</v>
          </cell>
          <cell r="AI81">
            <v>0</v>
          </cell>
          <cell r="AJ81" t="e">
            <v>#N/A</v>
          </cell>
          <cell r="AK81" t="e">
            <v>#N/A</v>
          </cell>
          <cell r="AL81" t="e">
            <v>#N/A</v>
          </cell>
          <cell r="AM81" t="str">
            <v/>
          </cell>
          <cell r="AN81">
            <v>0</v>
          </cell>
          <cell r="AO81" t="str">
            <v/>
          </cell>
          <cell r="AP81">
            <v>0</v>
          </cell>
          <cell r="AQ81" t="str">
            <v/>
          </cell>
          <cell r="AR81">
            <v>0</v>
          </cell>
          <cell r="AS81" t="str">
            <v/>
          </cell>
          <cell r="AT81" t="str">
            <v/>
          </cell>
          <cell r="AU81">
            <v>0</v>
          </cell>
          <cell r="AV81" t="e">
            <v>#N/A</v>
          </cell>
          <cell r="AW81" t="e">
            <v>#N/A</v>
          </cell>
          <cell r="AX81" t="e">
            <v>#N/A</v>
          </cell>
          <cell r="AY81" t="str">
            <v/>
          </cell>
          <cell r="AZ81">
            <v>0</v>
          </cell>
          <cell r="BA81" t="str">
            <v/>
          </cell>
          <cell r="BB81">
            <v>0</v>
          </cell>
          <cell r="BC81" t="str">
            <v/>
          </cell>
        </row>
        <row r="82">
          <cell r="AF82" t="str">
            <v/>
          </cell>
          <cell r="AG82" t="str">
            <v/>
          </cell>
          <cell r="AH82">
            <v>0</v>
          </cell>
          <cell r="AI82">
            <v>0</v>
          </cell>
          <cell r="AJ82" t="e">
            <v>#N/A</v>
          </cell>
          <cell r="AK82" t="e">
            <v>#N/A</v>
          </cell>
          <cell r="AL82" t="e">
            <v>#N/A</v>
          </cell>
          <cell r="AM82" t="str">
            <v/>
          </cell>
          <cell r="AN82">
            <v>0</v>
          </cell>
          <cell r="AO82" t="str">
            <v/>
          </cell>
          <cell r="AP82">
            <v>0</v>
          </cell>
          <cell r="AQ82" t="str">
            <v/>
          </cell>
          <cell r="AR82">
            <v>0</v>
          </cell>
          <cell r="AS82" t="str">
            <v/>
          </cell>
          <cell r="AT82" t="str">
            <v/>
          </cell>
          <cell r="AU82">
            <v>0</v>
          </cell>
          <cell r="AV82" t="e">
            <v>#N/A</v>
          </cell>
          <cell r="AW82" t="e">
            <v>#N/A</v>
          </cell>
          <cell r="AX82" t="e">
            <v>#N/A</v>
          </cell>
          <cell r="AY82" t="str">
            <v/>
          </cell>
          <cell r="AZ82">
            <v>0</v>
          </cell>
          <cell r="BA82" t="str">
            <v/>
          </cell>
          <cell r="BB82">
            <v>0</v>
          </cell>
          <cell r="BC82" t="str">
            <v/>
          </cell>
        </row>
        <row r="83">
          <cell r="AF83" t="str">
            <v/>
          </cell>
          <cell r="AG83" t="str">
            <v/>
          </cell>
          <cell r="AH83">
            <v>0</v>
          </cell>
          <cell r="AI83">
            <v>0</v>
          </cell>
          <cell r="AJ83" t="e">
            <v>#N/A</v>
          </cell>
          <cell r="AK83" t="e">
            <v>#N/A</v>
          </cell>
          <cell r="AL83" t="e">
            <v>#N/A</v>
          </cell>
          <cell r="AM83" t="str">
            <v/>
          </cell>
          <cell r="AN83">
            <v>0</v>
          </cell>
          <cell r="AO83" t="str">
            <v/>
          </cell>
          <cell r="AP83">
            <v>0</v>
          </cell>
          <cell r="AQ83" t="str">
            <v/>
          </cell>
          <cell r="AR83">
            <v>0</v>
          </cell>
          <cell r="AS83" t="str">
            <v/>
          </cell>
          <cell r="AT83" t="str">
            <v/>
          </cell>
          <cell r="AU83">
            <v>0</v>
          </cell>
          <cell r="AV83" t="e">
            <v>#N/A</v>
          </cell>
          <cell r="AW83" t="e">
            <v>#N/A</v>
          </cell>
          <cell r="AX83" t="e">
            <v>#N/A</v>
          </cell>
          <cell r="AY83" t="str">
            <v/>
          </cell>
          <cell r="AZ83">
            <v>0</v>
          </cell>
          <cell r="BA83" t="str">
            <v/>
          </cell>
          <cell r="BB83">
            <v>0</v>
          </cell>
          <cell r="BC83" t="str">
            <v/>
          </cell>
        </row>
        <row r="84">
          <cell r="AF84" t="str">
            <v/>
          </cell>
          <cell r="AG84" t="str">
            <v/>
          </cell>
          <cell r="AH84">
            <v>0</v>
          </cell>
          <cell r="AI84">
            <v>0</v>
          </cell>
          <cell r="AJ84" t="e">
            <v>#N/A</v>
          </cell>
          <cell r="AK84" t="e">
            <v>#N/A</v>
          </cell>
          <cell r="AL84" t="e">
            <v>#N/A</v>
          </cell>
          <cell r="AM84" t="str">
            <v/>
          </cell>
          <cell r="AN84">
            <v>0</v>
          </cell>
          <cell r="AO84" t="str">
            <v/>
          </cell>
          <cell r="AP84">
            <v>0</v>
          </cell>
          <cell r="AQ84" t="str">
            <v/>
          </cell>
          <cell r="AR84">
            <v>0</v>
          </cell>
          <cell r="AS84" t="str">
            <v/>
          </cell>
          <cell r="AT84" t="str">
            <v/>
          </cell>
          <cell r="AU84">
            <v>0</v>
          </cell>
          <cell r="AV84" t="e">
            <v>#N/A</v>
          </cell>
          <cell r="AW84" t="e">
            <v>#N/A</v>
          </cell>
          <cell r="AX84" t="e">
            <v>#N/A</v>
          </cell>
          <cell r="AY84" t="str">
            <v/>
          </cell>
          <cell r="AZ84">
            <v>0</v>
          </cell>
          <cell r="BA84" t="str">
            <v/>
          </cell>
          <cell r="BB84">
            <v>0</v>
          </cell>
          <cell r="BC84" t="str">
            <v/>
          </cell>
        </row>
        <row r="85">
          <cell r="AF85" t="str">
            <v/>
          </cell>
          <cell r="AG85" t="str">
            <v/>
          </cell>
          <cell r="AH85">
            <v>0</v>
          </cell>
          <cell r="AI85">
            <v>0</v>
          </cell>
          <cell r="AJ85" t="e">
            <v>#N/A</v>
          </cell>
          <cell r="AK85" t="e">
            <v>#N/A</v>
          </cell>
          <cell r="AL85" t="e">
            <v>#N/A</v>
          </cell>
          <cell r="AM85" t="str">
            <v/>
          </cell>
          <cell r="AN85">
            <v>0</v>
          </cell>
          <cell r="AO85" t="str">
            <v/>
          </cell>
          <cell r="AP85">
            <v>0</v>
          </cell>
          <cell r="AQ85" t="str">
            <v/>
          </cell>
          <cell r="AR85">
            <v>0</v>
          </cell>
          <cell r="AS85" t="str">
            <v/>
          </cell>
          <cell r="AT85" t="str">
            <v/>
          </cell>
          <cell r="AU85">
            <v>0</v>
          </cell>
          <cell r="AV85" t="e">
            <v>#N/A</v>
          </cell>
          <cell r="AW85" t="e">
            <v>#N/A</v>
          </cell>
          <cell r="AX85" t="e">
            <v>#N/A</v>
          </cell>
          <cell r="AY85" t="str">
            <v/>
          </cell>
          <cell r="AZ85">
            <v>0</v>
          </cell>
          <cell r="BA85" t="str">
            <v/>
          </cell>
          <cell r="BB85">
            <v>0</v>
          </cell>
          <cell r="BC85" t="str">
            <v/>
          </cell>
        </row>
        <row r="86">
          <cell r="AF86" t="str">
            <v/>
          </cell>
          <cell r="AG86" t="str">
            <v/>
          </cell>
          <cell r="AH86">
            <v>0</v>
          </cell>
          <cell r="AI86">
            <v>0</v>
          </cell>
          <cell r="AJ86" t="e">
            <v>#N/A</v>
          </cell>
          <cell r="AK86" t="e">
            <v>#N/A</v>
          </cell>
          <cell r="AL86" t="e">
            <v>#N/A</v>
          </cell>
          <cell r="AM86" t="str">
            <v/>
          </cell>
          <cell r="AN86">
            <v>0</v>
          </cell>
          <cell r="AO86" t="str">
            <v/>
          </cell>
          <cell r="AP86">
            <v>0</v>
          </cell>
          <cell r="AQ86" t="str">
            <v/>
          </cell>
          <cell r="AR86">
            <v>0</v>
          </cell>
          <cell r="AS86" t="str">
            <v/>
          </cell>
          <cell r="AT86" t="str">
            <v/>
          </cell>
          <cell r="AU86">
            <v>0</v>
          </cell>
          <cell r="AV86" t="e">
            <v>#N/A</v>
          </cell>
          <cell r="AW86" t="e">
            <v>#N/A</v>
          </cell>
          <cell r="AX86" t="e">
            <v>#N/A</v>
          </cell>
          <cell r="AY86" t="str">
            <v/>
          </cell>
          <cell r="AZ86">
            <v>0</v>
          </cell>
          <cell r="BA86" t="str">
            <v/>
          </cell>
          <cell r="BB86">
            <v>0</v>
          </cell>
          <cell r="BC86" t="str">
            <v/>
          </cell>
        </row>
        <row r="100">
          <cell r="AF100" t="str">
            <v>Combustível</v>
          </cell>
          <cell r="AG100" t="str">
            <v>Combustível</v>
          </cell>
          <cell r="AH100" t="str">
            <v>Consumo Fósseis</v>
          </cell>
          <cell r="AI100">
            <v>0</v>
          </cell>
          <cell r="AJ100" t="str">
            <v>EFs Combustíveis Fosseis [Kg/L]</v>
          </cell>
          <cell r="AK100">
            <v>0</v>
          </cell>
          <cell r="AL100">
            <v>0</v>
          </cell>
          <cell r="AM100" t="str">
            <v>Emissões</v>
          </cell>
          <cell r="AN100">
            <v>0</v>
          </cell>
          <cell r="AO100">
            <v>0</v>
          </cell>
          <cell r="AP100">
            <v>0</v>
          </cell>
          <cell r="AQ100">
            <v>0</v>
          </cell>
          <cell r="AR100">
            <v>0</v>
          </cell>
          <cell r="AS100" t="str">
            <v>Combustível</v>
          </cell>
          <cell r="AT100" t="str">
            <v>Consumo não fossil</v>
          </cell>
          <cell r="AU100">
            <v>0</v>
          </cell>
          <cell r="AV100" t="str">
            <v>EFs Combustíveis não fosséis</v>
          </cell>
          <cell r="AW100">
            <v>0</v>
          </cell>
          <cell r="AX100">
            <v>0</v>
          </cell>
          <cell r="AY100" t="str">
            <v>Emissões</v>
          </cell>
          <cell r="AZ100">
            <v>0</v>
          </cell>
          <cell r="BA100">
            <v>0</v>
          </cell>
          <cell r="BB100">
            <v>0</v>
          </cell>
          <cell r="BC100">
            <v>0</v>
          </cell>
        </row>
        <row r="101">
          <cell r="AF101" t="str">
            <v>relatado</v>
          </cell>
          <cell r="AG101" t="str">
            <v>fóssil</v>
          </cell>
          <cell r="AH101">
            <v>0</v>
          </cell>
          <cell r="AI101">
            <v>0</v>
          </cell>
          <cell r="AJ101" t="str">
            <v>CO2</v>
          </cell>
          <cell r="AK101" t="str">
            <v>CH4</v>
          </cell>
          <cell r="AL101" t="str">
            <v>N2O</v>
          </cell>
          <cell r="AM101" t="str">
            <v>CO2</v>
          </cell>
          <cell r="AN101">
            <v>0</v>
          </cell>
          <cell r="AO101" t="str">
            <v>CH4</v>
          </cell>
          <cell r="AP101">
            <v>0</v>
          </cell>
          <cell r="AQ101" t="str">
            <v>N2O</v>
          </cell>
          <cell r="AR101">
            <v>0</v>
          </cell>
          <cell r="AS101" t="str">
            <v>não fóssil</v>
          </cell>
          <cell r="AT101">
            <v>0</v>
          </cell>
          <cell r="AU101">
            <v>0</v>
          </cell>
          <cell r="AV101" t="str">
            <v>CO2</v>
          </cell>
          <cell r="AW101" t="str">
            <v>CH4</v>
          </cell>
          <cell r="AX101" t="str">
            <v>N2O</v>
          </cell>
          <cell r="AY101" t="str">
            <v>CO2</v>
          </cell>
          <cell r="AZ101">
            <v>0</v>
          </cell>
          <cell r="BA101" t="str">
            <v>CH4</v>
          </cell>
          <cell r="BB101">
            <v>0</v>
          </cell>
          <cell r="BC101" t="str">
            <v>N2O</v>
          </cell>
        </row>
        <row r="102">
          <cell r="AF102" t="str">
            <v/>
          </cell>
          <cell r="AG102" t="str">
            <v/>
          </cell>
          <cell r="AH102">
            <v>0</v>
          </cell>
          <cell r="AI102">
            <v>0</v>
          </cell>
          <cell r="AJ102" t="e">
            <v>#N/A</v>
          </cell>
          <cell r="AK102" t="e">
            <v>#N/A</v>
          </cell>
          <cell r="AL102" t="e">
            <v>#N/A</v>
          </cell>
          <cell r="AM102" t="str">
            <v/>
          </cell>
          <cell r="AN102">
            <v>0</v>
          </cell>
          <cell r="AO102" t="str">
            <v/>
          </cell>
          <cell r="AP102">
            <v>0</v>
          </cell>
          <cell r="AQ102" t="str">
            <v/>
          </cell>
          <cell r="AR102">
            <v>0</v>
          </cell>
          <cell r="AS102" t="str">
            <v/>
          </cell>
          <cell r="AT102" t="str">
            <v/>
          </cell>
          <cell r="AU102">
            <v>0</v>
          </cell>
          <cell r="AV102" t="str">
            <v/>
          </cell>
          <cell r="AW102" t="e">
            <v>#N/A</v>
          </cell>
          <cell r="AX102" t="e">
            <v>#N/A</v>
          </cell>
          <cell r="AY102" t="str">
            <v/>
          </cell>
          <cell r="AZ102">
            <v>0</v>
          </cell>
          <cell r="BA102" t="str">
            <v/>
          </cell>
          <cell r="BB102">
            <v>0</v>
          </cell>
          <cell r="BC102" t="str">
            <v/>
          </cell>
        </row>
        <row r="103">
          <cell r="AF103" t="str">
            <v/>
          </cell>
          <cell r="AG103" t="str">
            <v/>
          </cell>
          <cell r="AH103">
            <v>0</v>
          </cell>
          <cell r="AI103">
            <v>0</v>
          </cell>
          <cell r="AJ103" t="e">
            <v>#N/A</v>
          </cell>
          <cell r="AK103" t="e">
            <v>#N/A</v>
          </cell>
          <cell r="AL103" t="e">
            <v>#N/A</v>
          </cell>
          <cell r="AM103" t="str">
            <v/>
          </cell>
          <cell r="AN103">
            <v>0</v>
          </cell>
          <cell r="AO103" t="str">
            <v/>
          </cell>
          <cell r="AP103">
            <v>0</v>
          </cell>
          <cell r="AQ103" t="str">
            <v/>
          </cell>
          <cell r="AR103">
            <v>0</v>
          </cell>
          <cell r="AS103" t="str">
            <v/>
          </cell>
          <cell r="AT103" t="str">
            <v/>
          </cell>
          <cell r="AU103">
            <v>0</v>
          </cell>
          <cell r="AV103" t="str">
            <v/>
          </cell>
          <cell r="AW103" t="e">
            <v>#N/A</v>
          </cell>
          <cell r="AX103" t="e">
            <v>#N/A</v>
          </cell>
          <cell r="AY103" t="str">
            <v/>
          </cell>
          <cell r="AZ103">
            <v>0</v>
          </cell>
          <cell r="BA103" t="str">
            <v/>
          </cell>
          <cell r="BB103">
            <v>0</v>
          </cell>
          <cell r="BC103" t="str">
            <v/>
          </cell>
        </row>
        <row r="104">
          <cell r="AF104" t="str">
            <v/>
          </cell>
          <cell r="AG104" t="str">
            <v/>
          </cell>
          <cell r="AH104">
            <v>0</v>
          </cell>
          <cell r="AI104">
            <v>0</v>
          </cell>
          <cell r="AJ104" t="e">
            <v>#N/A</v>
          </cell>
          <cell r="AK104" t="e">
            <v>#N/A</v>
          </cell>
          <cell r="AL104" t="e">
            <v>#N/A</v>
          </cell>
          <cell r="AM104" t="str">
            <v/>
          </cell>
          <cell r="AN104">
            <v>0</v>
          </cell>
          <cell r="AO104" t="str">
            <v/>
          </cell>
          <cell r="AP104">
            <v>0</v>
          </cell>
          <cell r="AQ104" t="str">
            <v/>
          </cell>
          <cell r="AR104">
            <v>0</v>
          </cell>
          <cell r="AS104" t="str">
            <v/>
          </cell>
          <cell r="AT104" t="str">
            <v/>
          </cell>
          <cell r="AU104">
            <v>0</v>
          </cell>
          <cell r="AV104" t="str">
            <v/>
          </cell>
          <cell r="AW104" t="e">
            <v>#N/A</v>
          </cell>
          <cell r="AX104" t="e">
            <v>#N/A</v>
          </cell>
          <cell r="AY104" t="str">
            <v/>
          </cell>
          <cell r="AZ104">
            <v>0</v>
          </cell>
          <cell r="BA104" t="str">
            <v/>
          </cell>
          <cell r="BB104">
            <v>0</v>
          </cell>
          <cell r="BC104" t="str">
            <v/>
          </cell>
        </row>
        <row r="105">
          <cell r="AF105" t="str">
            <v/>
          </cell>
          <cell r="AG105" t="str">
            <v/>
          </cell>
          <cell r="AH105">
            <v>0</v>
          </cell>
          <cell r="AI105">
            <v>0</v>
          </cell>
          <cell r="AJ105" t="e">
            <v>#N/A</v>
          </cell>
          <cell r="AK105" t="e">
            <v>#N/A</v>
          </cell>
          <cell r="AL105" t="e">
            <v>#N/A</v>
          </cell>
          <cell r="AM105" t="str">
            <v/>
          </cell>
          <cell r="AN105">
            <v>0</v>
          </cell>
          <cell r="AO105" t="str">
            <v/>
          </cell>
          <cell r="AP105">
            <v>0</v>
          </cell>
          <cell r="AQ105" t="str">
            <v/>
          </cell>
          <cell r="AR105">
            <v>0</v>
          </cell>
          <cell r="AS105" t="str">
            <v/>
          </cell>
          <cell r="AT105" t="str">
            <v/>
          </cell>
          <cell r="AU105">
            <v>0</v>
          </cell>
          <cell r="AV105" t="str">
            <v/>
          </cell>
          <cell r="AW105" t="e">
            <v>#N/A</v>
          </cell>
          <cell r="AX105" t="e">
            <v>#N/A</v>
          </cell>
          <cell r="AY105" t="str">
            <v/>
          </cell>
          <cell r="AZ105">
            <v>0</v>
          </cell>
          <cell r="BA105" t="str">
            <v/>
          </cell>
          <cell r="BB105">
            <v>0</v>
          </cell>
          <cell r="BC105" t="str">
            <v/>
          </cell>
        </row>
        <row r="106">
          <cell r="AF106" t="str">
            <v/>
          </cell>
          <cell r="AG106" t="str">
            <v/>
          </cell>
          <cell r="AH106">
            <v>0</v>
          </cell>
          <cell r="AI106">
            <v>0</v>
          </cell>
          <cell r="AJ106" t="e">
            <v>#N/A</v>
          </cell>
          <cell r="AK106" t="e">
            <v>#N/A</v>
          </cell>
          <cell r="AL106" t="e">
            <v>#N/A</v>
          </cell>
          <cell r="AM106" t="str">
            <v/>
          </cell>
          <cell r="AN106">
            <v>0</v>
          </cell>
          <cell r="AO106" t="str">
            <v/>
          </cell>
          <cell r="AP106">
            <v>0</v>
          </cell>
          <cell r="AQ106" t="str">
            <v/>
          </cell>
          <cell r="AR106">
            <v>0</v>
          </cell>
          <cell r="AS106" t="str">
            <v/>
          </cell>
          <cell r="AT106" t="str">
            <v/>
          </cell>
          <cell r="AU106">
            <v>0</v>
          </cell>
          <cell r="AV106" t="str">
            <v/>
          </cell>
          <cell r="AW106" t="e">
            <v>#N/A</v>
          </cell>
          <cell r="AX106" t="e">
            <v>#N/A</v>
          </cell>
          <cell r="AY106" t="str">
            <v/>
          </cell>
          <cell r="AZ106">
            <v>0</v>
          </cell>
          <cell r="BA106" t="str">
            <v/>
          </cell>
          <cell r="BB106">
            <v>0</v>
          </cell>
          <cell r="BC106" t="str">
            <v/>
          </cell>
        </row>
        <row r="107">
          <cell r="AF107" t="str">
            <v/>
          </cell>
          <cell r="AG107" t="str">
            <v/>
          </cell>
          <cell r="AH107">
            <v>0</v>
          </cell>
          <cell r="AI107">
            <v>0</v>
          </cell>
          <cell r="AJ107" t="e">
            <v>#N/A</v>
          </cell>
          <cell r="AK107" t="e">
            <v>#N/A</v>
          </cell>
          <cell r="AL107" t="e">
            <v>#N/A</v>
          </cell>
          <cell r="AM107" t="str">
            <v/>
          </cell>
          <cell r="AN107">
            <v>0</v>
          </cell>
          <cell r="AO107" t="str">
            <v/>
          </cell>
          <cell r="AP107">
            <v>0</v>
          </cell>
          <cell r="AQ107" t="str">
            <v/>
          </cell>
          <cell r="AR107">
            <v>0</v>
          </cell>
          <cell r="AS107" t="str">
            <v/>
          </cell>
          <cell r="AT107" t="str">
            <v/>
          </cell>
          <cell r="AU107">
            <v>0</v>
          </cell>
          <cell r="AV107" t="str">
            <v/>
          </cell>
          <cell r="AW107" t="e">
            <v>#N/A</v>
          </cell>
          <cell r="AX107" t="e">
            <v>#N/A</v>
          </cell>
          <cell r="AY107" t="str">
            <v/>
          </cell>
          <cell r="AZ107">
            <v>0</v>
          </cell>
          <cell r="BA107" t="str">
            <v/>
          </cell>
          <cell r="BB107">
            <v>0</v>
          </cell>
          <cell r="BC107" t="str">
            <v/>
          </cell>
        </row>
        <row r="108">
          <cell r="AF108" t="str">
            <v/>
          </cell>
          <cell r="AG108" t="str">
            <v/>
          </cell>
          <cell r="AH108">
            <v>0</v>
          </cell>
          <cell r="AI108">
            <v>0</v>
          </cell>
          <cell r="AJ108" t="e">
            <v>#N/A</v>
          </cell>
          <cell r="AK108" t="e">
            <v>#N/A</v>
          </cell>
          <cell r="AL108" t="e">
            <v>#N/A</v>
          </cell>
          <cell r="AM108" t="str">
            <v/>
          </cell>
          <cell r="AN108">
            <v>0</v>
          </cell>
          <cell r="AO108" t="str">
            <v/>
          </cell>
          <cell r="AP108">
            <v>0</v>
          </cell>
          <cell r="AQ108" t="str">
            <v/>
          </cell>
          <cell r="AR108">
            <v>0</v>
          </cell>
          <cell r="AS108" t="str">
            <v/>
          </cell>
          <cell r="AT108" t="str">
            <v/>
          </cell>
          <cell r="AU108">
            <v>0</v>
          </cell>
          <cell r="AV108" t="str">
            <v/>
          </cell>
          <cell r="AW108" t="e">
            <v>#N/A</v>
          </cell>
          <cell r="AX108" t="e">
            <v>#N/A</v>
          </cell>
          <cell r="AY108" t="str">
            <v/>
          </cell>
          <cell r="AZ108">
            <v>0</v>
          </cell>
          <cell r="BA108" t="str">
            <v/>
          </cell>
          <cell r="BB108">
            <v>0</v>
          </cell>
          <cell r="BC108" t="str">
            <v/>
          </cell>
        </row>
        <row r="109">
          <cell r="AF109" t="str">
            <v/>
          </cell>
          <cell r="AG109" t="str">
            <v/>
          </cell>
          <cell r="AH109">
            <v>0</v>
          </cell>
          <cell r="AI109">
            <v>0</v>
          </cell>
          <cell r="AJ109" t="e">
            <v>#N/A</v>
          </cell>
          <cell r="AK109" t="e">
            <v>#N/A</v>
          </cell>
          <cell r="AL109" t="e">
            <v>#N/A</v>
          </cell>
          <cell r="AM109" t="str">
            <v/>
          </cell>
          <cell r="AN109">
            <v>0</v>
          </cell>
          <cell r="AO109" t="str">
            <v/>
          </cell>
          <cell r="AP109">
            <v>0</v>
          </cell>
          <cell r="AQ109" t="str">
            <v/>
          </cell>
          <cell r="AR109">
            <v>0</v>
          </cell>
          <cell r="AS109" t="str">
            <v/>
          </cell>
          <cell r="AT109" t="str">
            <v/>
          </cell>
          <cell r="AU109">
            <v>0</v>
          </cell>
          <cell r="AV109" t="str">
            <v/>
          </cell>
          <cell r="AW109" t="e">
            <v>#N/A</v>
          </cell>
          <cell r="AX109" t="e">
            <v>#N/A</v>
          </cell>
          <cell r="AY109" t="str">
            <v/>
          </cell>
          <cell r="AZ109">
            <v>0</v>
          </cell>
          <cell r="BA109" t="str">
            <v/>
          </cell>
          <cell r="BB109">
            <v>0</v>
          </cell>
          <cell r="BC109" t="str">
            <v/>
          </cell>
        </row>
        <row r="110">
          <cell r="AF110" t="str">
            <v/>
          </cell>
          <cell r="AG110" t="str">
            <v/>
          </cell>
          <cell r="AH110">
            <v>0</v>
          </cell>
          <cell r="AI110">
            <v>0</v>
          </cell>
          <cell r="AJ110" t="e">
            <v>#N/A</v>
          </cell>
          <cell r="AK110" t="e">
            <v>#N/A</v>
          </cell>
          <cell r="AL110" t="e">
            <v>#N/A</v>
          </cell>
          <cell r="AM110" t="str">
            <v/>
          </cell>
          <cell r="AN110">
            <v>0</v>
          </cell>
          <cell r="AO110" t="str">
            <v/>
          </cell>
          <cell r="AP110">
            <v>0</v>
          </cell>
          <cell r="AQ110" t="str">
            <v/>
          </cell>
          <cell r="AR110">
            <v>0</v>
          </cell>
          <cell r="AS110" t="str">
            <v/>
          </cell>
          <cell r="AT110" t="str">
            <v/>
          </cell>
          <cell r="AU110">
            <v>0</v>
          </cell>
          <cell r="AV110" t="str">
            <v/>
          </cell>
          <cell r="AW110" t="e">
            <v>#N/A</v>
          </cell>
          <cell r="AX110" t="e">
            <v>#N/A</v>
          </cell>
          <cell r="AY110" t="str">
            <v/>
          </cell>
          <cell r="AZ110">
            <v>0</v>
          </cell>
          <cell r="BA110" t="str">
            <v/>
          </cell>
          <cell r="BB110">
            <v>0</v>
          </cell>
          <cell r="BC110" t="str">
            <v/>
          </cell>
        </row>
        <row r="111">
          <cell r="AF111" t="str">
            <v/>
          </cell>
          <cell r="AG111" t="str">
            <v/>
          </cell>
          <cell r="AH111">
            <v>0</v>
          </cell>
          <cell r="AI111">
            <v>0</v>
          </cell>
          <cell r="AJ111" t="e">
            <v>#N/A</v>
          </cell>
          <cell r="AK111" t="e">
            <v>#N/A</v>
          </cell>
          <cell r="AL111" t="e">
            <v>#N/A</v>
          </cell>
          <cell r="AM111" t="str">
            <v/>
          </cell>
          <cell r="AN111">
            <v>0</v>
          </cell>
          <cell r="AO111" t="str">
            <v/>
          </cell>
          <cell r="AP111">
            <v>0</v>
          </cell>
          <cell r="AQ111" t="str">
            <v/>
          </cell>
          <cell r="AR111">
            <v>0</v>
          </cell>
          <cell r="AS111" t="str">
            <v/>
          </cell>
          <cell r="AT111" t="str">
            <v/>
          </cell>
          <cell r="AU111">
            <v>0</v>
          </cell>
          <cell r="AV111" t="str">
            <v/>
          </cell>
          <cell r="AW111" t="e">
            <v>#N/A</v>
          </cell>
          <cell r="AX111" t="e">
            <v>#N/A</v>
          </cell>
          <cell r="AY111" t="str">
            <v/>
          </cell>
          <cell r="AZ111">
            <v>0</v>
          </cell>
          <cell r="BA111" t="str">
            <v/>
          </cell>
          <cell r="BB111">
            <v>0</v>
          </cell>
          <cell r="BC111" t="str">
            <v/>
          </cell>
        </row>
        <row r="112">
          <cell r="AF112" t="str">
            <v/>
          </cell>
          <cell r="AG112" t="str">
            <v/>
          </cell>
          <cell r="AH112">
            <v>0</v>
          </cell>
          <cell r="AI112">
            <v>0</v>
          </cell>
          <cell r="AJ112" t="e">
            <v>#N/A</v>
          </cell>
          <cell r="AK112" t="e">
            <v>#N/A</v>
          </cell>
          <cell r="AL112" t="e">
            <v>#N/A</v>
          </cell>
          <cell r="AM112" t="str">
            <v/>
          </cell>
          <cell r="AN112">
            <v>0</v>
          </cell>
          <cell r="AO112" t="str">
            <v/>
          </cell>
          <cell r="AP112">
            <v>0</v>
          </cell>
          <cell r="AQ112" t="str">
            <v/>
          </cell>
          <cell r="AR112">
            <v>0</v>
          </cell>
          <cell r="AS112" t="str">
            <v/>
          </cell>
          <cell r="AT112" t="str">
            <v/>
          </cell>
          <cell r="AU112">
            <v>0</v>
          </cell>
          <cell r="AV112" t="str">
            <v/>
          </cell>
          <cell r="AW112" t="e">
            <v>#N/A</v>
          </cell>
          <cell r="AX112" t="e">
            <v>#N/A</v>
          </cell>
          <cell r="AY112" t="str">
            <v/>
          </cell>
          <cell r="AZ112">
            <v>0</v>
          </cell>
          <cell r="BA112" t="str">
            <v/>
          </cell>
          <cell r="BB112">
            <v>0</v>
          </cell>
          <cell r="BC112" t="str">
            <v/>
          </cell>
        </row>
        <row r="113">
          <cell r="AF113" t="str">
            <v/>
          </cell>
          <cell r="AG113" t="str">
            <v/>
          </cell>
          <cell r="AH113">
            <v>0</v>
          </cell>
          <cell r="AI113">
            <v>0</v>
          </cell>
          <cell r="AJ113" t="e">
            <v>#N/A</v>
          </cell>
          <cell r="AK113" t="e">
            <v>#N/A</v>
          </cell>
          <cell r="AL113" t="e">
            <v>#N/A</v>
          </cell>
          <cell r="AM113" t="str">
            <v/>
          </cell>
          <cell r="AN113">
            <v>0</v>
          </cell>
          <cell r="AO113" t="str">
            <v/>
          </cell>
          <cell r="AP113">
            <v>0</v>
          </cell>
          <cell r="AQ113" t="str">
            <v/>
          </cell>
          <cell r="AR113">
            <v>0</v>
          </cell>
          <cell r="AS113" t="str">
            <v/>
          </cell>
          <cell r="AT113" t="str">
            <v/>
          </cell>
          <cell r="AU113">
            <v>0</v>
          </cell>
          <cell r="AV113" t="str">
            <v/>
          </cell>
          <cell r="AW113" t="e">
            <v>#N/A</v>
          </cell>
          <cell r="AX113" t="e">
            <v>#N/A</v>
          </cell>
          <cell r="AY113" t="str">
            <v/>
          </cell>
          <cell r="AZ113">
            <v>0</v>
          </cell>
          <cell r="BA113" t="str">
            <v/>
          </cell>
          <cell r="BB113">
            <v>0</v>
          </cell>
          <cell r="BC113" t="str">
            <v/>
          </cell>
        </row>
        <row r="114">
          <cell r="AF114" t="str">
            <v/>
          </cell>
          <cell r="AG114" t="str">
            <v/>
          </cell>
          <cell r="AH114">
            <v>0</v>
          </cell>
          <cell r="AI114">
            <v>0</v>
          </cell>
          <cell r="AJ114" t="e">
            <v>#N/A</v>
          </cell>
          <cell r="AK114" t="e">
            <v>#N/A</v>
          </cell>
          <cell r="AL114" t="e">
            <v>#N/A</v>
          </cell>
          <cell r="AM114" t="str">
            <v/>
          </cell>
          <cell r="AN114">
            <v>0</v>
          </cell>
          <cell r="AO114" t="str">
            <v/>
          </cell>
          <cell r="AP114">
            <v>0</v>
          </cell>
          <cell r="AQ114" t="str">
            <v/>
          </cell>
          <cell r="AR114">
            <v>0</v>
          </cell>
          <cell r="AS114" t="str">
            <v/>
          </cell>
          <cell r="AT114" t="str">
            <v/>
          </cell>
          <cell r="AU114">
            <v>0</v>
          </cell>
          <cell r="AV114" t="str">
            <v/>
          </cell>
          <cell r="AW114" t="e">
            <v>#N/A</v>
          </cell>
          <cell r="AX114" t="e">
            <v>#N/A</v>
          </cell>
          <cell r="AY114" t="str">
            <v/>
          </cell>
          <cell r="AZ114">
            <v>0</v>
          </cell>
          <cell r="BA114" t="str">
            <v/>
          </cell>
          <cell r="BB114">
            <v>0</v>
          </cell>
          <cell r="BC114" t="str">
            <v/>
          </cell>
        </row>
        <row r="115">
          <cell r="AF115" t="str">
            <v/>
          </cell>
          <cell r="AG115" t="str">
            <v/>
          </cell>
          <cell r="AH115">
            <v>0</v>
          </cell>
          <cell r="AI115">
            <v>0</v>
          </cell>
          <cell r="AJ115" t="e">
            <v>#N/A</v>
          </cell>
          <cell r="AK115" t="e">
            <v>#N/A</v>
          </cell>
          <cell r="AL115" t="e">
            <v>#N/A</v>
          </cell>
          <cell r="AM115" t="str">
            <v/>
          </cell>
          <cell r="AN115">
            <v>0</v>
          </cell>
          <cell r="AO115" t="str">
            <v/>
          </cell>
          <cell r="AP115">
            <v>0</v>
          </cell>
          <cell r="AQ115" t="str">
            <v/>
          </cell>
          <cell r="AR115">
            <v>0</v>
          </cell>
          <cell r="AS115" t="str">
            <v/>
          </cell>
          <cell r="AT115" t="str">
            <v/>
          </cell>
          <cell r="AU115">
            <v>0</v>
          </cell>
          <cell r="AV115" t="str">
            <v/>
          </cell>
          <cell r="AW115" t="e">
            <v>#N/A</v>
          </cell>
          <cell r="AX115" t="e">
            <v>#N/A</v>
          </cell>
          <cell r="AY115" t="str">
            <v/>
          </cell>
          <cell r="AZ115">
            <v>0</v>
          </cell>
          <cell r="BA115" t="str">
            <v/>
          </cell>
          <cell r="BB115">
            <v>0</v>
          </cell>
          <cell r="BC115" t="str">
            <v/>
          </cell>
        </row>
        <row r="116">
          <cell r="AF116" t="str">
            <v/>
          </cell>
          <cell r="AG116" t="str">
            <v/>
          </cell>
          <cell r="AH116">
            <v>0</v>
          </cell>
          <cell r="AI116">
            <v>0</v>
          </cell>
          <cell r="AJ116" t="e">
            <v>#N/A</v>
          </cell>
          <cell r="AK116" t="e">
            <v>#N/A</v>
          </cell>
          <cell r="AL116" t="e">
            <v>#N/A</v>
          </cell>
          <cell r="AM116" t="str">
            <v/>
          </cell>
          <cell r="AN116">
            <v>0</v>
          </cell>
          <cell r="AO116" t="str">
            <v/>
          </cell>
          <cell r="AP116">
            <v>0</v>
          </cell>
          <cell r="AQ116" t="str">
            <v/>
          </cell>
          <cell r="AR116">
            <v>0</v>
          </cell>
          <cell r="AS116" t="str">
            <v/>
          </cell>
          <cell r="AT116" t="str">
            <v/>
          </cell>
          <cell r="AU116">
            <v>0</v>
          </cell>
          <cell r="AV116" t="str">
            <v/>
          </cell>
          <cell r="AW116" t="e">
            <v>#N/A</v>
          </cell>
          <cell r="AX116" t="e">
            <v>#N/A</v>
          </cell>
          <cell r="AY116" t="str">
            <v/>
          </cell>
          <cell r="AZ116">
            <v>0</v>
          </cell>
          <cell r="BA116" t="str">
            <v/>
          </cell>
          <cell r="BB116">
            <v>0</v>
          </cell>
          <cell r="BC116" t="str">
            <v/>
          </cell>
        </row>
        <row r="117">
          <cell r="AF117" t="str">
            <v/>
          </cell>
          <cell r="AG117" t="str">
            <v/>
          </cell>
          <cell r="AH117">
            <v>0</v>
          </cell>
          <cell r="AI117">
            <v>0</v>
          </cell>
          <cell r="AJ117" t="e">
            <v>#N/A</v>
          </cell>
          <cell r="AK117" t="e">
            <v>#N/A</v>
          </cell>
          <cell r="AL117" t="e">
            <v>#N/A</v>
          </cell>
          <cell r="AM117" t="str">
            <v/>
          </cell>
          <cell r="AN117">
            <v>0</v>
          </cell>
          <cell r="AO117" t="str">
            <v/>
          </cell>
          <cell r="AP117">
            <v>0</v>
          </cell>
          <cell r="AQ117" t="str">
            <v/>
          </cell>
          <cell r="AR117">
            <v>0</v>
          </cell>
          <cell r="AS117" t="str">
            <v/>
          </cell>
          <cell r="AT117" t="str">
            <v/>
          </cell>
          <cell r="AU117">
            <v>0</v>
          </cell>
          <cell r="AV117" t="str">
            <v/>
          </cell>
          <cell r="AW117" t="e">
            <v>#N/A</v>
          </cell>
          <cell r="AX117" t="e">
            <v>#N/A</v>
          </cell>
          <cell r="AY117" t="str">
            <v/>
          </cell>
          <cell r="AZ117">
            <v>0</v>
          </cell>
          <cell r="BA117" t="str">
            <v/>
          </cell>
          <cell r="BB117">
            <v>0</v>
          </cell>
          <cell r="BC117" t="str">
            <v/>
          </cell>
        </row>
        <row r="118">
          <cell r="AF118" t="str">
            <v/>
          </cell>
          <cell r="AG118" t="str">
            <v/>
          </cell>
          <cell r="AH118">
            <v>0</v>
          </cell>
          <cell r="AI118">
            <v>0</v>
          </cell>
          <cell r="AJ118" t="e">
            <v>#N/A</v>
          </cell>
          <cell r="AK118" t="e">
            <v>#N/A</v>
          </cell>
          <cell r="AL118" t="e">
            <v>#N/A</v>
          </cell>
          <cell r="AM118" t="str">
            <v/>
          </cell>
          <cell r="AN118">
            <v>0</v>
          </cell>
          <cell r="AO118" t="str">
            <v/>
          </cell>
          <cell r="AP118">
            <v>0</v>
          </cell>
          <cell r="AQ118" t="str">
            <v/>
          </cell>
          <cell r="AR118">
            <v>0</v>
          </cell>
          <cell r="AS118" t="str">
            <v/>
          </cell>
          <cell r="AT118" t="str">
            <v/>
          </cell>
          <cell r="AU118">
            <v>0</v>
          </cell>
          <cell r="AV118" t="str">
            <v/>
          </cell>
          <cell r="AW118" t="e">
            <v>#N/A</v>
          </cell>
          <cell r="AX118" t="e">
            <v>#N/A</v>
          </cell>
          <cell r="AY118" t="str">
            <v/>
          </cell>
          <cell r="AZ118">
            <v>0</v>
          </cell>
          <cell r="BA118" t="str">
            <v/>
          </cell>
          <cell r="BB118">
            <v>0</v>
          </cell>
          <cell r="BC118" t="str">
            <v/>
          </cell>
        </row>
        <row r="119">
          <cell r="AF119" t="str">
            <v/>
          </cell>
          <cell r="AG119" t="str">
            <v/>
          </cell>
          <cell r="AH119">
            <v>0</v>
          </cell>
          <cell r="AI119">
            <v>0</v>
          </cell>
          <cell r="AJ119" t="e">
            <v>#N/A</v>
          </cell>
          <cell r="AK119" t="e">
            <v>#N/A</v>
          </cell>
          <cell r="AL119" t="e">
            <v>#N/A</v>
          </cell>
          <cell r="AM119" t="str">
            <v/>
          </cell>
          <cell r="AN119">
            <v>0</v>
          </cell>
          <cell r="AO119" t="str">
            <v/>
          </cell>
          <cell r="AP119">
            <v>0</v>
          </cell>
          <cell r="AQ119" t="str">
            <v/>
          </cell>
          <cell r="AR119">
            <v>0</v>
          </cell>
          <cell r="AS119" t="str">
            <v/>
          </cell>
          <cell r="AT119" t="str">
            <v/>
          </cell>
          <cell r="AU119">
            <v>0</v>
          </cell>
          <cell r="AV119" t="str">
            <v/>
          </cell>
          <cell r="AW119" t="e">
            <v>#N/A</v>
          </cell>
          <cell r="AX119" t="e">
            <v>#N/A</v>
          </cell>
          <cell r="AY119" t="str">
            <v/>
          </cell>
          <cell r="AZ119">
            <v>0</v>
          </cell>
          <cell r="BA119" t="str">
            <v/>
          </cell>
          <cell r="BB119">
            <v>0</v>
          </cell>
          <cell r="BC119" t="str">
            <v/>
          </cell>
        </row>
        <row r="120">
          <cell r="AF120" t="str">
            <v/>
          </cell>
          <cell r="AG120" t="str">
            <v/>
          </cell>
          <cell r="AH120">
            <v>0</v>
          </cell>
          <cell r="AI120">
            <v>0</v>
          </cell>
          <cell r="AJ120" t="e">
            <v>#N/A</v>
          </cell>
          <cell r="AK120" t="e">
            <v>#N/A</v>
          </cell>
          <cell r="AL120" t="e">
            <v>#N/A</v>
          </cell>
          <cell r="AM120" t="str">
            <v/>
          </cell>
          <cell r="AN120">
            <v>0</v>
          </cell>
          <cell r="AO120" t="str">
            <v/>
          </cell>
          <cell r="AP120">
            <v>0</v>
          </cell>
          <cell r="AQ120" t="str">
            <v/>
          </cell>
          <cell r="AR120">
            <v>0</v>
          </cell>
          <cell r="AS120" t="str">
            <v/>
          </cell>
          <cell r="AT120" t="str">
            <v/>
          </cell>
          <cell r="AU120">
            <v>0</v>
          </cell>
          <cell r="AV120" t="str">
            <v/>
          </cell>
          <cell r="AW120" t="e">
            <v>#N/A</v>
          </cell>
          <cell r="AX120" t="e">
            <v>#N/A</v>
          </cell>
          <cell r="AY120" t="str">
            <v/>
          </cell>
          <cell r="AZ120">
            <v>0</v>
          </cell>
          <cell r="BA120" t="str">
            <v/>
          </cell>
          <cell r="BB120">
            <v>0</v>
          </cell>
          <cell r="BC120" t="str">
            <v/>
          </cell>
        </row>
        <row r="121">
          <cell r="AF121" t="str">
            <v/>
          </cell>
          <cell r="AG121" t="str">
            <v/>
          </cell>
          <cell r="AH121">
            <v>0</v>
          </cell>
          <cell r="AI121">
            <v>0</v>
          </cell>
          <cell r="AJ121" t="e">
            <v>#N/A</v>
          </cell>
          <cell r="AK121" t="e">
            <v>#N/A</v>
          </cell>
          <cell r="AL121" t="e">
            <v>#N/A</v>
          </cell>
          <cell r="AM121" t="str">
            <v/>
          </cell>
          <cell r="AN121">
            <v>0</v>
          </cell>
          <cell r="AO121" t="str">
            <v/>
          </cell>
          <cell r="AP121">
            <v>0</v>
          </cell>
          <cell r="AQ121" t="str">
            <v/>
          </cell>
          <cell r="AR121">
            <v>0</v>
          </cell>
          <cell r="AS121" t="str">
            <v/>
          </cell>
          <cell r="AT121" t="str">
            <v/>
          </cell>
          <cell r="AU121">
            <v>0</v>
          </cell>
          <cell r="AV121" t="str">
            <v/>
          </cell>
          <cell r="AW121" t="e">
            <v>#N/A</v>
          </cell>
          <cell r="AX121" t="e">
            <v>#N/A</v>
          </cell>
          <cell r="AY121" t="str">
            <v/>
          </cell>
          <cell r="AZ121">
            <v>0</v>
          </cell>
          <cell r="BA121" t="str">
            <v/>
          </cell>
          <cell r="BB121">
            <v>0</v>
          </cell>
          <cell r="BC121" t="str">
            <v/>
          </cell>
        </row>
        <row r="122">
          <cell r="AF122" t="str">
            <v/>
          </cell>
          <cell r="AG122" t="str">
            <v/>
          </cell>
          <cell r="AH122">
            <v>0</v>
          </cell>
          <cell r="AI122">
            <v>0</v>
          </cell>
          <cell r="AJ122" t="e">
            <v>#N/A</v>
          </cell>
          <cell r="AK122" t="e">
            <v>#N/A</v>
          </cell>
          <cell r="AL122" t="e">
            <v>#N/A</v>
          </cell>
          <cell r="AM122" t="str">
            <v/>
          </cell>
          <cell r="AN122">
            <v>0</v>
          </cell>
          <cell r="AO122" t="str">
            <v/>
          </cell>
          <cell r="AP122">
            <v>0</v>
          </cell>
          <cell r="AQ122" t="str">
            <v/>
          </cell>
          <cell r="AR122">
            <v>0</v>
          </cell>
          <cell r="AS122" t="str">
            <v/>
          </cell>
          <cell r="AT122" t="str">
            <v/>
          </cell>
          <cell r="AU122">
            <v>0</v>
          </cell>
          <cell r="AV122" t="str">
            <v/>
          </cell>
          <cell r="AW122" t="e">
            <v>#N/A</v>
          </cell>
          <cell r="AX122" t="e">
            <v>#N/A</v>
          </cell>
          <cell r="AY122" t="str">
            <v/>
          </cell>
          <cell r="AZ122">
            <v>0</v>
          </cell>
          <cell r="BA122" t="str">
            <v/>
          </cell>
          <cell r="BB122">
            <v>0</v>
          </cell>
          <cell r="BC122" t="str">
            <v/>
          </cell>
        </row>
        <row r="123">
          <cell r="AF123" t="str">
            <v/>
          </cell>
          <cell r="AG123" t="str">
            <v/>
          </cell>
          <cell r="AH123">
            <v>0</v>
          </cell>
          <cell r="AI123">
            <v>0</v>
          </cell>
          <cell r="AJ123" t="e">
            <v>#N/A</v>
          </cell>
          <cell r="AK123" t="e">
            <v>#N/A</v>
          </cell>
          <cell r="AL123" t="e">
            <v>#N/A</v>
          </cell>
          <cell r="AM123" t="str">
            <v/>
          </cell>
          <cell r="AN123">
            <v>0</v>
          </cell>
          <cell r="AO123" t="str">
            <v/>
          </cell>
          <cell r="AP123">
            <v>0</v>
          </cell>
          <cell r="AQ123" t="str">
            <v/>
          </cell>
          <cell r="AR123">
            <v>0</v>
          </cell>
          <cell r="AS123" t="str">
            <v/>
          </cell>
          <cell r="AT123" t="str">
            <v/>
          </cell>
          <cell r="AU123">
            <v>0</v>
          </cell>
          <cell r="AV123" t="str">
            <v/>
          </cell>
          <cell r="AW123" t="e">
            <v>#N/A</v>
          </cell>
          <cell r="AX123" t="e">
            <v>#N/A</v>
          </cell>
          <cell r="AY123" t="str">
            <v/>
          </cell>
          <cell r="AZ123">
            <v>0</v>
          </cell>
          <cell r="BA123" t="str">
            <v/>
          </cell>
          <cell r="BB123">
            <v>0</v>
          </cell>
          <cell r="BC123" t="str">
            <v/>
          </cell>
        </row>
        <row r="124">
          <cell r="AF124" t="str">
            <v/>
          </cell>
          <cell r="AG124" t="str">
            <v/>
          </cell>
          <cell r="AH124">
            <v>0</v>
          </cell>
          <cell r="AI124">
            <v>0</v>
          </cell>
          <cell r="AJ124" t="e">
            <v>#N/A</v>
          </cell>
          <cell r="AK124" t="e">
            <v>#N/A</v>
          </cell>
          <cell r="AL124" t="e">
            <v>#N/A</v>
          </cell>
          <cell r="AM124" t="str">
            <v/>
          </cell>
          <cell r="AN124">
            <v>0</v>
          </cell>
          <cell r="AO124" t="str">
            <v/>
          </cell>
          <cell r="AP124">
            <v>0</v>
          </cell>
          <cell r="AQ124" t="str">
            <v/>
          </cell>
          <cell r="AR124">
            <v>0</v>
          </cell>
          <cell r="AS124" t="str">
            <v/>
          </cell>
          <cell r="AT124" t="str">
            <v/>
          </cell>
          <cell r="AU124">
            <v>0</v>
          </cell>
          <cell r="AV124" t="str">
            <v/>
          </cell>
          <cell r="AW124" t="e">
            <v>#N/A</v>
          </cell>
          <cell r="AX124" t="e">
            <v>#N/A</v>
          </cell>
          <cell r="AY124" t="str">
            <v/>
          </cell>
          <cell r="AZ124">
            <v>0</v>
          </cell>
          <cell r="BA124" t="str">
            <v/>
          </cell>
          <cell r="BB124">
            <v>0</v>
          </cell>
          <cell r="BC124" t="str">
            <v/>
          </cell>
        </row>
        <row r="125">
          <cell r="AF125" t="str">
            <v/>
          </cell>
          <cell r="AG125" t="str">
            <v/>
          </cell>
          <cell r="AH125">
            <v>0</v>
          </cell>
          <cell r="AI125">
            <v>0</v>
          </cell>
          <cell r="AJ125" t="e">
            <v>#N/A</v>
          </cell>
          <cell r="AK125" t="e">
            <v>#N/A</v>
          </cell>
          <cell r="AL125" t="e">
            <v>#N/A</v>
          </cell>
          <cell r="AM125" t="str">
            <v/>
          </cell>
          <cell r="AN125">
            <v>0</v>
          </cell>
          <cell r="AO125" t="str">
            <v/>
          </cell>
          <cell r="AP125">
            <v>0</v>
          </cell>
          <cell r="AQ125" t="str">
            <v/>
          </cell>
          <cell r="AR125">
            <v>0</v>
          </cell>
          <cell r="AS125" t="str">
            <v/>
          </cell>
          <cell r="AT125" t="str">
            <v/>
          </cell>
          <cell r="AU125">
            <v>0</v>
          </cell>
          <cell r="AV125" t="str">
            <v/>
          </cell>
          <cell r="AW125" t="e">
            <v>#N/A</v>
          </cell>
          <cell r="AX125" t="e">
            <v>#N/A</v>
          </cell>
          <cell r="AY125" t="str">
            <v/>
          </cell>
          <cell r="AZ125">
            <v>0</v>
          </cell>
          <cell r="BA125" t="str">
            <v/>
          </cell>
          <cell r="BB125">
            <v>0</v>
          </cell>
          <cell r="BC125" t="str">
            <v/>
          </cell>
        </row>
        <row r="126">
          <cell r="AF126" t="str">
            <v/>
          </cell>
          <cell r="AG126" t="str">
            <v/>
          </cell>
          <cell r="AH126">
            <v>0</v>
          </cell>
          <cell r="AI126">
            <v>0</v>
          </cell>
          <cell r="AJ126" t="e">
            <v>#N/A</v>
          </cell>
          <cell r="AK126" t="e">
            <v>#N/A</v>
          </cell>
          <cell r="AL126" t="e">
            <v>#N/A</v>
          </cell>
          <cell r="AM126" t="str">
            <v/>
          </cell>
          <cell r="AN126">
            <v>0</v>
          </cell>
          <cell r="AO126" t="str">
            <v/>
          </cell>
          <cell r="AP126">
            <v>0</v>
          </cell>
          <cell r="AQ126" t="str">
            <v/>
          </cell>
          <cell r="AR126">
            <v>0</v>
          </cell>
          <cell r="AS126" t="str">
            <v/>
          </cell>
          <cell r="AT126" t="str">
            <v/>
          </cell>
          <cell r="AU126">
            <v>0</v>
          </cell>
          <cell r="AV126" t="str">
            <v/>
          </cell>
          <cell r="AW126" t="e">
            <v>#N/A</v>
          </cell>
          <cell r="AX126" t="e">
            <v>#N/A</v>
          </cell>
          <cell r="AY126" t="str">
            <v/>
          </cell>
          <cell r="AZ126">
            <v>0</v>
          </cell>
          <cell r="BA126" t="str">
            <v/>
          </cell>
          <cell r="BB126">
            <v>0</v>
          </cell>
          <cell r="BC126" t="str">
            <v/>
          </cell>
        </row>
        <row r="127">
          <cell r="AF127" t="str">
            <v/>
          </cell>
          <cell r="AG127" t="str">
            <v/>
          </cell>
          <cell r="AH127">
            <v>0</v>
          </cell>
          <cell r="AI127">
            <v>0</v>
          </cell>
          <cell r="AJ127" t="e">
            <v>#N/A</v>
          </cell>
          <cell r="AK127" t="e">
            <v>#N/A</v>
          </cell>
          <cell r="AL127" t="e">
            <v>#N/A</v>
          </cell>
          <cell r="AM127" t="str">
            <v/>
          </cell>
          <cell r="AN127">
            <v>0</v>
          </cell>
          <cell r="AO127" t="str">
            <v/>
          </cell>
          <cell r="AP127">
            <v>0</v>
          </cell>
          <cell r="AQ127" t="str">
            <v/>
          </cell>
          <cell r="AR127">
            <v>0</v>
          </cell>
          <cell r="AS127" t="str">
            <v/>
          </cell>
          <cell r="AT127" t="str">
            <v/>
          </cell>
          <cell r="AU127">
            <v>0</v>
          </cell>
          <cell r="AV127" t="str">
            <v/>
          </cell>
          <cell r="AW127" t="e">
            <v>#N/A</v>
          </cell>
          <cell r="AX127" t="e">
            <v>#N/A</v>
          </cell>
          <cell r="AY127" t="str">
            <v/>
          </cell>
          <cell r="AZ127">
            <v>0</v>
          </cell>
          <cell r="BA127" t="str">
            <v/>
          </cell>
          <cell r="BB127">
            <v>0</v>
          </cell>
          <cell r="BC127" t="str">
            <v/>
          </cell>
        </row>
        <row r="128">
          <cell r="AF128" t="str">
            <v/>
          </cell>
          <cell r="AG128" t="str">
            <v/>
          </cell>
          <cell r="AH128">
            <v>0</v>
          </cell>
          <cell r="AI128">
            <v>0</v>
          </cell>
          <cell r="AJ128" t="e">
            <v>#N/A</v>
          </cell>
          <cell r="AK128" t="e">
            <v>#N/A</v>
          </cell>
          <cell r="AL128" t="e">
            <v>#N/A</v>
          </cell>
          <cell r="AM128" t="str">
            <v/>
          </cell>
          <cell r="AN128">
            <v>0</v>
          </cell>
          <cell r="AO128" t="str">
            <v/>
          </cell>
          <cell r="AP128">
            <v>0</v>
          </cell>
          <cell r="AQ128" t="str">
            <v/>
          </cell>
          <cell r="AR128">
            <v>0</v>
          </cell>
          <cell r="AS128" t="str">
            <v/>
          </cell>
          <cell r="AT128" t="str">
            <v/>
          </cell>
          <cell r="AU128">
            <v>0</v>
          </cell>
          <cell r="AV128" t="str">
            <v/>
          </cell>
          <cell r="AW128" t="e">
            <v>#N/A</v>
          </cell>
          <cell r="AX128" t="e">
            <v>#N/A</v>
          </cell>
          <cell r="AY128" t="str">
            <v/>
          </cell>
          <cell r="AZ128">
            <v>0</v>
          </cell>
          <cell r="BA128" t="str">
            <v/>
          </cell>
          <cell r="BB128">
            <v>0</v>
          </cell>
          <cell r="BC128" t="str">
            <v/>
          </cell>
        </row>
        <row r="129">
          <cell r="AF129" t="str">
            <v/>
          </cell>
          <cell r="AG129" t="str">
            <v/>
          </cell>
          <cell r="AH129">
            <v>0</v>
          </cell>
          <cell r="AI129">
            <v>0</v>
          </cell>
          <cell r="AJ129" t="e">
            <v>#N/A</v>
          </cell>
          <cell r="AK129" t="e">
            <v>#N/A</v>
          </cell>
          <cell r="AL129" t="e">
            <v>#N/A</v>
          </cell>
          <cell r="AM129" t="str">
            <v/>
          </cell>
          <cell r="AN129">
            <v>0</v>
          </cell>
          <cell r="AO129" t="str">
            <v/>
          </cell>
          <cell r="AP129">
            <v>0</v>
          </cell>
          <cell r="AQ129" t="str">
            <v/>
          </cell>
          <cell r="AR129">
            <v>0</v>
          </cell>
          <cell r="AS129" t="str">
            <v/>
          </cell>
          <cell r="AT129" t="str">
            <v/>
          </cell>
          <cell r="AU129">
            <v>0</v>
          </cell>
          <cell r="AV129" t="str">
            <v/>
          </cell>
          <cell r="AW129" t="e">
            <v>#N/A</v>
          </cell>
          <cell r="AX129" t="e">
            <v>#N/A</v>
          </cell>
          <cell r="AY129" t="str">
            <v/>
          </cell>
          <cell r="AZ129">
            <v>0</v>
          </cell>
          <cell r="BA129" t="str">
            <v/>
          </cell>
          <cell r="BB129">
            <v>0</v>
          </cell>
          <cell r="BC129" t="str">
            <v/>
          </cell>
        </row>
        <row r="130">
          <cell r="AF130" t="str">
            <v/>
          </cell>
          <cell r="AG130" t="str">
            <v/>
          </cell>
          <cell r="AH130">
            <v>0</v>
          </cell>
          <cell r="AI130">
            <v>0</v>
          </cell>
          <cell r="AJ130" t="e">
            <v>#N/A</v>
          </cell>
          <cell r="AK130" t="e">
            <v>#N/A</v>
          </cell>
          <cell r="AL130" t="e">
            <v>#N/A</v>
          </cell>
          <cell r="AM130" t="str">
            <v/>
          </cell>
          <cell r="AN130">
            <v>0</v>
          </cell>
          <cell r="AO130" t="str">
            <v/>
          </cell>
          <cell r="AP130">
            <v>0</v>
          </cell>
          <cell r="AQ130" t="str">
            <v/>
          </cell>
          <cell r="AR130">
            <v>0</v>
          </cell>
          <cell r="AS130" t="str">
            <v/>
          </cell>
          <cell r="AT130" t="str">
            <v/>
          </cell>
          <cell r="AU130">
            <v>0</v>
          </cell>
          <cell r="AV130" t="str">
            <v/>
          </cell>
          <cell r="AW130" t="e">
            <v>#N/A</v>
          </cell>
          <cell r="AX130" t="e">
            <v>#N/A</v>
          </cell>
          <cell r="AY130" t="str">
            <v/>
          </cell>
          <cell r="AZ130">
            <v>0</v>
          </cell>
          <cell r="BA130" t="str">
            <v/>
          </cell>
          <cell r="BB130">
            <v>0</v>
          </cell>
          <cell r="BC130" t="str">
            <v/>
          </cell>
        </row>
        <row r="131">
          <cell r="AF131" t="str">
            <v/>
          </cell>
          <cell r="AG131" t="str">
            <v/>
          </cell>
          <cell r="AH131">
            <v>0</v>
          </cell>
          <cell r="AI131">
            <v>0</v>
          </cell>
          <cell r="AJ131" t="e">
            <v>#N/A</v>
          </cell>
          <cell r="AK131" t="e">
            <v>#N/A</v>
          </cell>
          <cell r="AL131" t="e">
            <v>#N/A</v>
          </cell>
          <cell r="AM131" t="str">
            <v/>
          </cell>
          <cell r="AN131">
            <v>0</v>
          </cell>
          <cell r="AO131" t="str">
            <v/>
          </cell>
          <cell r="AP131">
            <v>0</v>
          </cell>
          <cell r="AQ131" t="str">
            <v/>
          </cell>
          <cell r="AR131">
            <v>0</v>
          </cell>
          <cell r="AS131" t="str">
            <v/>
          </cell>
          <cell r="AT131" t="str">
            <v/>
          </cell>
          <cell r="AU131">
            <v>0</v>
          </cell>
          <cell r="AV131" t="str">
            <v/>
          </cell>
          <cell r="AW131" t="e">
            <v>#N/A</v>
          </cell>
          <cell r="AX131" t="e">
            <v>#N/A</v>
          </cell>
          <cell r="AY131" t="str">
            <v/>
          </cell>
          <cell r="AZ131">
            <v>0</v>
          </cell>
          <cell r="BA131" t="str">
            <v/>
          </cell>
          <cell r="BB131">
            <v>0</v>
          </cell>
          <cell r="BC131" t="str">
            <v/>
          </cell>
        </row>
        <row r="132">
          <cell r="AF132" t="str">
            <v/>
          </cell>
          <cell r="AG132" t="str">
            <v/>
          </cell>
          <cell r="AH132">
            <v>0</v>
          </cell>
          <cell r="AI132">
            <v>0</v>
          </cell>
          <cell r="AJ132" t="e">
            <v>#N/A</v>
          </cell>
          <cell r="AK132" t="e">
            <v>#N/A</v>
          </cell>
          <cell r="AL132" t="e">
            <v>#N/A</v>
          </cell>
          <cell r="AM132" t="str">
            <v/>
          </cell>
          <cell r="AN132">
            <v>0</v>
          </cell>
          <cell r="AO132" t="str">
            <v/>
          </cell>
          <cell r="AP132">
            <v>0</v>
          </cell>
          <cell r="AQ132" t="str">
            <v/>
          </cell>
          <cell r="AR132">
            <v>0</v>
          </cell>
          <cell r="AS132" t="str">
            <v/>
          </cell>
          <cell r="AT132" t="str">
            <v/>
          </cell>
          <cell r="AU132">
            <v>0</v>
          </cell>
          <cell r="AV132" t="str">
            <v/>
          </cell>
          <cell r="AW132" t="e">
            <v>#N/A</v>
          </cell>
          <cell r="AX132" t="e">
            <v>#N/A</v>
          </cell>
          <cell r="AY132" t="str">
            <v/>
          </cell>
          <cell r="AZ132">
            <v>0</v>
          </cell>
          <cell r="BA132" t="str">
            <v/>
          </cell>
          <cell r="BB132">
            <v>0</v>
          </cell>
          <cell r="BC132" t="str">
            <v/>
          </cell>
        </row>
        <row r="133">
          <cell r="AF133" t="str">
            <v/>
          </cell>
          <cell r="AG133" t="str">
            <v/>
          </cell>
          <cell r="AH133">
            <v>0</v>
          </cell>
          <cell r="AI133">
            <v>0</v>
          </cell>
          <cell r="AJ133" t="e">
            <v>#N/A</v>
          </cell>
          <cell r="AK133" t="e">
            <v>#N/A</v>
          </cell>
          <cell r="AL133" t="e">
            <v>#N/A</v>
          </cell>
          <cell r="AM133" t="str">
            <v/>
          </cell>
          <cell r="AN133">
            <v>0</v>
          </cell>
          <cell r="AO133" t="str">
            <v/>
          </cell>
          <cell r="AP133">
            <v>0</v>
          </cell>
          <cell r="AQ133" t="str">
            <v/>
          </cell>
          <cell r="AR133">
            <v>0</v>
          </cell>
          <cell r="AS133" t="str">
            <v/>
          </cell>
          <cell r="AT133" t="str">
            <v/>
          </cell>
          <cell r="AU133">
            <v>0</v>
          </cell>
          <cell r="AV133" t="str">
            <v/>
          </cell>
          <cell r="AW133" t="e">
            <v>#N/A</v>
          </cell>
          <cell r="AX133" t="e">
            <v>#N/A</v>
          </cell>
          <cell r="AY133" t="str">
            <v/>
          </cell>
          <cell r="AZ133">
            <v>0</v>
          </cell>
          <cell r="BA133" t="str">
            <v/>
          </cell>
          <cell r="BB133">
            <v>0</v>
          </cell>
          <cell r="BC133" t="str">
            <v/>
          </cell>
        </row>
        <row r="134">
          <cell r="AF134" t="str">
            <v/>
          </cell>
          <cell r="AG134" t="str">
            <v/>
          </cell>
          <cell r="AH134">
            <v>0</v>
          </cell>
          <cell r="AI134">
            <v>0</v>
          </cell>
          <cell r="AJ134" t="e">
            <v>#N/A</v>
          </cell>
          <cell r="AK134" t="e">
            <v>#N/A</v>
          </cell>
          <cell r="AL134" t="e">
            <v>#N/A</v>
          </cell>
          <cell r="AM134" t="str">
            <v/>
          </cell>
          <cell r="AN134">
            <v>0</v>
          </cell>
          <cell r="AO134" t="str">
            <v/>
          </cell>
          <cell r="AP134">
            <v>0</v>
          </cell>
          <cell r="AQ134" t="str">
            <v/>
          </cell>
          <cell r="AR134">
            <v>0</v>
          </cell>
          <cell r="AS134" t="str">
            <v/>
          </cell>
          <cell r="AT134" t="str">
            <v/>
          </cell>
          <cell r="AU134">
            <v>0</v>
          </cell>
          <cell r="AV134" t="str">
            <v/>
          </cell>
          <cell r="AW134" t="e">
            <v>#N/A</v>
          </cell>
          <cell r="AX134" t="e">
            <v>#N/A</v>
          </cell>
          <cell r="AY134" t="str">
            <v/>
          </cell>
          <cell r="AZ134">
            <v>0</v>
          </cell>
          <cell r="BA134" t="str">
            <v/>
          </cell>
          <cell r="BB134">
            <v>0</v>
          </cell>
          <cell r="BC134" t="str">
            <v/>
          </cell>
        </row>
        <row r="135">
          <cell r="AF135" t="str">
            <v/>
          </cell>
          <cell r="AG135" t="str">
            <v/>
          </cell>
          <cell r="AH135">
            <v>0</v>
          </cell>
          <cell r="AI135">
            <v>0</v>
          </cell>
          <cell r="AJ135" t="e">
            <v>#N/A</v>
          </cell>
          <cell r="AK135" t="e">
            <v>#N/A</v>
          </cell>
          <cell r="AL135" t="e">
            <v>#N/A</v>
          </cell>
          <cell r="AM135" t="str">
            <v/>
          </cell>
          <cell r="AN135">
            <v>0</v>
          </cell>
          <cell r="AO135" t="str">
            <v/>
          </cell>
          <cell r="AP135">
            <v>0</v>
          </cell>
          <cell r="AQ135" t="str">
            <v/>
          </cell>
          <cell r="AR135">
            <v>0</v>
          </cell>
          <cell r="AS135" t="str">
            <v/>
          </cell>
          <cell r="AT135" t="str">
            <v/>
          </cell>
          <cell r="AU135">
            <v>0</v>
          </cell>
          <cell r="AV135" t="str">
            <v/>
          </cell>
          <cell r="AW135" t="e">
            <v>#N/A</v>
          </cell>
          <cell r="AX135" t="e">
            <v>#N/A</v>
          </cell>
          <cell r="AY135" t="str">
            <v/>
          </cell>
          <cell r="AZ135">
            <v>0</v>
          </cell>
          <cell r="BA135" t="str">
            <v/>
          </cell>
          <cell r="BB135">
            <v>0</v>
          </cell>
          <cell r="BC135" t="str">
            <v/>
          </cell>
        </row>
        <row r="136">
          <cell r="AF136" t="str">
            <v/>
          </cell>
          <cell r="AG136" t="str">
            <v/>
          </cell>
          <cell r="AH136">
            <v>0</v>
          </cell>
          <cell r="AI136">
            <v>0</v>
          </cell>
          <cell r="AJ136" t="e">
            <v>#N/A</v>
          </cell>
          <cell r="AK136" t="e">
            <v>#N/A</v>
          </cell>
          <cell r="AL136" t="e">
            <v>#N/A</v>
          </cell>
          <cell r="AM136" t="str">
            <v/>
          </cell>
          <cell r="AN136">
            <v>0</v>
          </cell>
          <cell r="AO136" t="str">
            <v/>
          </cell>
          <cell r="AP136">
            <v>0</v>
          </cell>
          <cell r="AQ136" t="str">
            <v/>
          </cell>
          <cell r="AR136">
            <v>0</v>
          </cell>
          <cell r="AS136" t="str">
            <v/>
          </cell>
          <cell r="AT136" t="str">
            <v/>
          </cell>
          <cell r="AU136">
            <v>0</v>
          </cell>
          <cell r="AV136" t="str">
            <v/>
          </cell>
          <cell r="AW136" t="e">
            <v>#N/A</v>
          </cell>
          <cell r="AX136" t="e">
            <v>#N/A</v>
          </cell>
          <cell r="AY136" t="str">
            <v/>
          </cell>
          <cell r="AZ136">
            <v>0</v>
          </cell>
          <cell r="BA136" t="str">
            <v/>
          </cell>
          <cell r="BB136">
            <v>0</v>
          </cell>
          <cell r="BC136" t="str">
            <v/>
          </cell>
        </row>
        <row r="158">
          <cell r="F158">
            <v>0</v>
          </cell>
          <cell r="G158">
            <v>0</v>
          </cell>
          <cell r="H158">
            <v>0</v>
          </cell>
        </row>
        <row r="185">
          <cell r="G185">
            <v>0</v>
          </cell>
          <cell r="H185">
            <v>0</v>
          </cell>
          <cell r="I185">
            <v>0</v>
          </cell>
        </row>
        <row r="211">
          <cell r="G211">
            <v>0</v>
          </cell>
          <cell r="H211">
            <v>0</v>
          </cell>
          <cell r="I211">
            <v>0</v>
          </cell>
        </row>
        <row r="241">
          <cell r="G241">
            <v>0</v>
          </cell>
          <cell r="H241">
            <v>0</v>
          </cell>
          <cell r="I241">
            <v>0</v>
          </cell>
        </row>
        <row r="250">
          <cell r="F250">
            <v>0</v>
          </cell>
        </row>
      </sheetData>
      <sheetData sheetId="19" refreshError="1"/>
      <sheetData sheetId="20" refreshError="1">
        <row r="46">
          <cell r="K46" t="str">
            <v>Energia</v>
          </cell>
          <cell r="L46" t="str">
            <v>Manufatura ou Construção</v>
          </cell>
          <cell r="M46" t="str">
            <v>Comercial ou Institucional</v>
          </cell>
          <cell r="N46" t="str">
            <v>Residencial, Agricultura, Florestal ou Pesca</v>
          </cell>
          <cell r="O46" t="str">
            <v>Energia</v>
          </cell>
          <cell r="P46" t="str">
            <v>Manufatura ou Construção</v>
          </cell>
          <cell r="Q46" t="str">
            <v>Comercial ou Institucional</v>
          </cell>
          <cell r="R46" t="str">
            <v>Residencial, Agricultura, Florestal ou Pesca</v>
          </cell>
        </row>
        <row r="47">
          <cell r="B47">
            <v>2</v>
          </cell>
          <cell r="C47" t="str">
            <v>Alcatrão</v>
          </cell>
          <cell r="D47" t="str">
            <v>Coal Tar</v>
          </cell>
          <cell r="E47" t="str">
            <v>m³</v>
          </cell>
          <cell r="F47">
            <v>35.797139999999999</v>
          </cell>
          <cell r="G47">
            <v>1000</v>
          </cell>
          <cell r="H47" t="str">
            <v>BEN 2012</v>
          </cell>
          <cell r="I47">
            <v>94600</v>
          </cell>
          <cell r="J47" t="str">
            <v>MCT 2010</v>
          </cell>
          <cell r="K47">
            <v>1</v>
          </cell>
          <cell r="L47">
            <v>10</v>
          </cell>
          <cell r="M47">
            <v>10</v>
          </cell>
          <cell r="N47">
            <v>300</v>
          </cell>
          <cell r="O47">
            <v>1.5</v>
          </cell>
          <cell r="P47">
            <v>1.5</v>
          </cell>
          <cell r="Q47">
            <v>1.5</v>
          </cell>
          <cell r="R47">
            <v>1.5</v>
          </cell>
          <cell r="T47">
            <v>3386.4094439999994</v>
          </cell>
          <cell r="U47">
            <v>3.5797139999999998E-2</v>
          </cell>
          <cell r="V47">
            <v>0.35797140000000005</v>
          </cell>
          <cell r="W47">
            <v>0.35797140000000005</v>
          </cell>
          <cell r="X47">
            <v>10.739141999999999</v>
          </cell>
          <cell r="Y47">
            <v>5.3695710000000001E-2</v>
          </cell>
          <cell r="Z47">
            <v>5.3695710000000001E-2</v>
          </cell>
          <cell r="AA47">
            <v>5.3695710000000001E-2</v>
          </cell>
          <cell r="AB47">
            <v>5.3695710000000001E-2</v>
          </cell>
        </row>
        <row r="48">
          <cell r="B48">
            <v>3</v>
          </cell>
          <cell r="C48" t="str">
            <v>Asfaltos</v>
          </cell>
          <cell r="D48" t="str">
            <v>Bitumen</v>
          </cell>
          <cell r="E48" t="str">
            <v>m³</v>
          </cell>
          <cell r="F48">
            <v>40.988771999999997</v>
          </cell>
          <cell r="G48">
            <v>1025</v>
          </cell>
          <cell r="H48" t="str">
            <v>BEN 2012</v>
          </cell>
          <cell r="I48">
            <v>80700</v>
          </cell>
          <cell r="J48" t="str">
            <v>MCT 2010</v>
          </cell>
          <cell r="K48">
            <v>3</v>
          </cell>
          <cell r="L48">
            <v>3</v>
          </cell>
          <cell r="M48">
            <v>10</v>
          </cell>
          <cell r="N48">
            <v>10</v>
          </cell>
          <cell r="O48">
            <v>0.6</v>
          </cell>
          <cell r="P48">
            <v>0.6</v>
          </cell>
          <cell r="Q48">
            <v>0.6</v>
          </cell>
          <cell r="R48">
            <v>0.6</v>
          </cell>
          <cell r="T48">
            <v>3390.4887479099998</v>
          </cell>
          <cell r="U48">
            <v>0.12604047390000001</v>
          </cell>
          <cell r="V48">
            <v>0.12604047390000001</v>
          </cell>
          <cell r="W48">
            <v>0.42013491299999994</v>
          </cell>
          <cell r="X48">
            <v>0.42013491299999994</v>
          </cell>
          <cell r="Y48">
            <v>2.5208094779999999E-2</v>
          </cell>
          <cell r="Z48">
            <v>2.5208094779999999E-2</v>
          </cell>
          <cell r="AA48">
            <v>2.5208094779999999E-2</v>
          </cell>
          <cell r="AB48">
            <v>2.5208094779999999E-2</v>
          </cell>
        </row>
        <row r="49">
          <cell r="B49">
            <v>4</v>
          </cell>
          <cell r="C49" t="str">
            <v>Carvão Metalúrgico Importado</v>
          </cell>
          <cell r="D49" t="str">
            <v>Coking Coal</v>
          </cell>
          <cell r="E49" t="str">
            <v>Toneladas</v>
          </cell>
          <cell r="F49">
            <v>30.982320000000001</v>
          </cell>
          <cell r="G49">
            <v>1000</v>
          </cell>
          <cell r="H49" t="str">
            <v>BEN 2012</v>
          </cell>
          <cell r="I49">
            <v>94600</v>
          </cell>
          <cell r="J49" t="str">
            <v>MCT 2010</v>
          </cell>
          <cell r="K49">
            <v>1</v>
          </cell>
          <cell r="L49">
            <v>10</v>
          </cell>
          <cell r="M49">
            <v>10</v>
          </cell>
          <cell r="N49">
            <v>300</v>
          </cell>
          <cell r="O49">
            <v>1.5</v>
          </cell>
          <cell r="P49">
            <v>1.5</v>
          </cell>
          <cell r="Q49">
            <v>1.5</v>
          </cell>
          <cell r="R49">
            <v>1.5</v>
          </cell>
          <cell r="T49">
            <v>2930.9274719999999</v>
          </cell>
          <cell r="U49">
            <v>3.0982320000000001E-2</v>
          </cell>
          <cell r="V49">
            <v>0.30982320000000008</v>
          </cell>
          <cell r="W49">
            <v>0.30982320000000008</v>
          </cell>
          <cell r="X49">
            <v>9.2946960000000001</v>
          </cell>
          <cell r="Y49">
            <v>4.6473480000000005E-2</v>
          </cell>
          <cell r="Z49">
            <v>4.6473480000000005E-2</v>
          </cell>
          <cell r="AA49">
            <v>4.6473480000000005E-2</v>
          </cell>
          <cell r="AB49">
            <v>4.6473480000000005E-2</v>
          </cell>
        </row>
        <row r="50">
          <cell r="B50">
            <v>5</v>
          </cell>
          <cell r="C50" t="str">
            <v>Carvão Metalúrgico Nacional</v>
          </cell>
          <cell r="D50" t="str">
            <v>Coking Coal</v>
          </cell>
          <cell r="E50" t="str">
            <v>Toneladas</v>
          </cell>
          <cell r="F50">
            <v>26.879255999999998</v>
          </cell>
          <cell r="G50">
            <v>1000</v>
          </cell>
          <cell r="H50" t="str">
            <v>BEN 2012</v>
          </cell>
          <cell r="I50">
            <v>94600</v>
          </cell>
          <cell r="J50" t="str">
            <v>MCT 2010</v>
          </cell>
          <cell r="K50">
            <v>1</v>
          </cell>
          <cell r="L50">
            <v>10</v>
          </cell>
          <cell r="M50">
            <v>10</v>
          </cell>
          <cell r="N50">
            <v>300</v>
          </cell>
          <cell r="O50">
            <v>1.5</v>
          </cell>
          <cell r="P50">
            <v>1.5</v>
          </cell>
          <cell r="Q50">
            <v>1.5</v>
          </cell>
          <cell r="R50">
            <v>1.5</v>
          </cell>
          <cell r="T50">
            <v>2542.7776175999998</v>
          </cell>
          <cell r="U50">
            <v>2.6879255999999997E-2</v>
          </cell>
          <cell r="V50">
            <v>0.26879256000000001</v>
          </cell>
          <cell r="W50">
            <v>0.26879256000000001</v>
          </cell>
          <cell r="X50">
            <v>8.0637767999999994</v>
          </cell>
          <cell r="Y50">
            <v>4.0318883999999999E-2</v>
          </cell>
          <cell r="Z50">
            <v>4.0318883999999999E-2</v>
          </cell>
          <cell r="AA50">
            <v>4.0318883999999999E-2</v>
          </cell>
          <cell r="AB50">
            <v>4.0318883999999999E-2</v>
          </cell>
        </row>
        <row r="51">
          <cell r="B51">
            <v>6</v>
          </cell>
          <cell r="C51" t="str">
            <v>Carvão Vapor 3100 kcal / kg</v>
          </cell>
          <cell r="D51" t="str">
            <v>Other Bituminous Coal</v>
          </cell>
          <cell r="E51" t="str">
            <v>Toneladas</v>
          </cell>
          <cell r="F51">
            <v>12.35106</v>
          </cell>
          <cell r="G51">
            <v>1000</v>
          </cell>
          <cell r="H51" t="str">
            <v>BEN 2012</v>
          </cell>
          <cell r="I51">
            <v>94600</v>
          </cell>
          <cell r="J51" t="str">
            <v>MCT 2010</v>
          </cell>
          <cell r="K51">
            <v>1</v>
          </cell>
          <cell r="L51">
            <v>10</v>
          </cell>
          <cell r="M51">
            <v>10</v>
          </cell>
          <cell r="N51">
            <v>300</v>
          </cell>
          <cell r="O51">
            <v>1.5</v>
          </cell>
          <cell r="P51">
            <v>1.5</v>
          </cell>
          <cell r="Q51">
            <v>1.5</v>
          </cell>
          <cell r="R51">
            <v>1.5</v>
          </cell>
          <cell r="T51">
            <v>1168.4102760000001</v>
          </cell>
          <cell r="U51">
            <v>1.2351059999999999E-2</v>
          </cell>
          <cell r="V51">
            <v>0.12351060000000001</v>
          </cell>
          <cell r="W51">
            <v>0.12351060000000001</v>
          </cell>
          <cell r="X51">
            <v>3.7053180000000001</v>
          </cell>
          <cell r="Y51">
            <v>1.8526589999999999E-2</v>
          </cell>
          <cell r="Z51">
            <v>1.8526589999999999E-2</v>
          </cell>
          <cell r="AA51">
            <v>1.8526589999999999E-2</v>
          </cell>
          <cell r="AB51">
            <v>1.8526589999999999E-2</v>
          </cell>
        </row>
        <row r="52">
          <cell r="B52">
            <v>7</v>
          </cell>
          <cell r="C52" t="str">
            <v>Carvão Vapor 3300 kcal / kg</v>
          </cell>
          <cell r="D52" t="str">
            <v>Other Bituminous Coal</v>
          </cell>
          <cell r="E52" t="str">
            <v>Toneladas</v>
          </cell>
          <cell r="F52">
            <v>12.97908</v>
          </cell>
          <cell r="G52">
            <v>1000</v>
          </cell>
          <cell r="H52" t="str">
            <v>BEN 2012</v>
          </cell>
          <cell r="I52">
            <v>94600</v>
          </cell>
          <cell r="J52" t="str">
            <v>MCT 2010</v>
          </cell>
          <cell r="K52">
            <v>1</v>
          </cell>
          <cell r="L52">
            <v>10</v>
          </cell>
          <cell r="M52">
            <v>10</v>
          </cell>
          <cell r="N52">
            <v>300</v>
          </cell>
          <cell r="O52">
            <v>1.5</v>
          </cell>
          <cell r="P52">
            <v>1.5</v>
          </cell>
          <cell r="Q52">
            <v>1.5</v>
          </cell>
          <cell r="R52">
            <v>1.5</v>
          </cell>
          <cell r="T52">
            <v>1227.8209679999998</v>
          </cell>
          <cell r="U52">
            <v>1.297908E-2</v>
          </cell>
          <cell r="V52">
            <v>0.12979079999999998</v>
          </cell>
          <cell r="W52">
            <v>0.12979079999999998</v>
          </cell>
          <cell r="X52">
            <v>3.8937239999999997</v>
          </cell>
          <cell r="Y52">
            <v>1.9468620000000002E-2</v>
          </cell>
          <cell r="Z52">
            <v>1.9468620000000002E-2</v>
          </cell>
          <cell r="AA52">
            <v>1.9468620000000002E-2</v>
          </cell>
          <cell r="AB52">
            <v>1.9468620000000002E-2</v>
          </cell>
        </row>
        <row r="53">
          <cell r="B53">
            <v>8</v>
          </cell>
          <cell r="C53" t="str">
            <v>Carvão Vapor 3700 kcal / kg</v>
          </cell>
          <cell r="D53" t="str">
            <v>Other Bituminous Coal</v>
          </cell>
          <cell r="E53" t="str">
            <v>Toneladas</v>
          </cell>
          <cell r="F53">
            <v>14.653799999999999</v>
          </cell>
          <cell r="G53">
            <v>1000</v>
          </cell>
          <cell r="H53" t="str">
            <v>BEN 2012</v>
          </cell>
          <cell r="I53">
            <v>94600</v>
          </cell>
          <cell r="J53" t="str">
            <v>MCT 2010</v>
          </cell>
          <cell r="K53">
            <v>1</v>
          </cell>
          <cell r="L53">
            <v>10</v>
          </cell>
          <cell r="M53">
            <v>10</v>
          </cell>
          <cell r="N53">
            <v>300</v>
          </cell>
          <cell r="O53">
            <v>1.5</v>
          </cell>
          <cell r="P53">
            <v>1.5</v>
          </cell>
          <cell r="Q53">
            <v>1.5</v>
          </cell>
          <cell r="R53">
            <v>1.5</v>
          </cell>
          <cell r="T53">
            <v>1386.2494799999999</v>
          </cell>
          <cell r="U53">
            <v>1.46538E-2</v>
          </cell>
          <cell r="V53">
            <v>0.14653799999999997</v>
          </cell>
          <cell r="W53">
            <v>0.14653799999999997</v>
          </cell>
          <cell r="X53">
            <v>4.396139999999999</v>
          </cell>
          <cell r="Y53">
            <v>2.1980699999999995E-2</v>
          </cell>
          <cell r="Z53">
            <v>2.1980699999999995E-2</v>
          </cell>
          <cell r="AA53">
            <v>2.1980699999999995E-2</v>
          </cell>
          <cell r="AB53">
            <v>2.1980699999999995E-2</v>
          </cell>
        </row>
        <row r="54">
          <cell r="B54">
            <v>9</v>
          </cell>
          <cell r="C54" t="str">
            <v>Carvão Vapor 4200 kcal / kg</v>
          </cell>
          <cell r="D54" t="str">
            <v>Other Bituminous Coal</v>
          </cell>
          <cell r="E54" t="str">
            <v>Toneladas</v>
          </cell>
          <cell r="F54">
            <v>16.747199999999999</v>
          </cell>
          <cell r="G54">
            <v>1000</v>
          </cell>
          <cell r="H54" t="str">
            <v>BEN 2012</v>
          </cell>
          <cell r="I54">
            <v>94600</v>
          </cell>
          <cell r="J54" t="str">
            <v>MCT 2010</v>
          </cell>
          <cell r="K54">
            <v>1</v>
          </cell>
          <cell r="L54">
            <v>10</v>
          </cell>
          <cell r="M54">
            <v>10</v>
          </cell>
          <cell r="N54">
            <v>300</v>
          </cell>
          <cell r="O54">
            <v>1.5</v>
          </cell>
          <cell r="P54">
            <v>1.5</v>
          </cell>
          <cell r="Q54">
            <v>1.5</v>
          </cell>
          <cell r="R54">
            <v>1.5</v>
          </cell>
          <cell r="T54">
            <v>1584.2851199999998</v>
          </cell>
          <cell r="U54">
            <v>1.67472E-2</v>
          </cell>
          <cell r="V54">
            <v>0.16747199999999998</v>
          </cell>
          <cell r="W54">
            <v>0.16747199999999998</v>
          </cell>
          <cell r="X54">
            <v>5.0241600000000002</v>
          </cell>
          <cell r="Y54">
            <v>2.5120799999999999E-2</v>
          </cell>
          <cell r="Z54">
            <v>2.5120799999999999E-2</v>
          </cell>
          <cell r="AA54">
            <v>2.5120799999999999E-2</v>
          </cell>
          <cell r="AB54">
            <v>2.5120799999999999E-2</v>
          </cell>
        </row>
        <row r="55">
          <cell r="B55">
            <v>10</v>
          </cell>
          <cell r="C55" t="str">
            <v>Carvão Vapor 4500 kcal / kg</v>
          </cell>
          <cell r="D55" t="str">
            <v>Other Bituminous Coal</v>
          </cell>
          <cell r="E55" t="str">
            <v>Toneladas</v>
          </cell>
          <cell r="F55">
            <v>17.793899999999997</v>
          </cell>
          <cell r="G55">
            <v>1000</v>
          </cell>
          <cell r="H55" t="str">
            <v>BEN 2012</v>
          </cell>
          <cell r="I55">
            <v>94600</v>
          </cell>
          <cell r="J55" t="str">
            <v>MCT 2010</v>
          </cell>
          <cell r="K55">
            <v>1</v>
          </cell>
          <cell r="L55">
            <v>10</v>
          </cell>
          <cell r="M55">
            <v>10</v>
          </cell>
          <cell r="N55">
            <v>300</v>
          </cell>
          <cell r="O55">
            <v>1.5</v>
          </cell>
          <cell r="P55">
            <v>1.5</v>
          </cell>
          <cell r="Q55">
            <v>1.5</v>
          </cell>
          <cell r="R55">
            <v>1.5</v>
          </cell>
          <cell r="T55">
            <v>1683.3029399999998</v>
          </cell>
          <cell r="U55">
            <v>1.7793899999999998E-2</v>
          </cell>
          <cell r="V55">
            <v>0.17793899999999996</v>
          </cell>
          <cell r="W55">
            <v>0.17793899999999996</v>
          </cell>
          <cell r="X55">
            <v>5.338169999999999</v>
          </cell>
          <cell r="Y55">
            <v>2.6690849999999999E-2</v>
          </cell>
          <cell r="Z55">
            <v>2.6690849999999999E-2</v>
          </cell>
          <cell r="AA55">
            <v>2.6690849999999999E-2</v>
          </cell>
          <cell r="AB55">
            <v>2.6690849999999999E-2</v>
          </cell>
        </row>
        <row r="56">
          <cell r="B56">
            <v>11</v>
          </cell>
          <cell r="C56" t="str">
            <v>Carvão Vapor 4700 kcal / kg</v>
          </cell>
          <cell r="D56" t="str">
            <v>Other Bituminous Coal</v>
          </cell>
          <cell r="E56" t="str">
            <v>Toneladas</v>
          </cell>
          <cell r="F56">
            <v>18.631259999999997</v>
          </cell>
          <cell r="G56">
            <v>1000</v>
          </cell>
          <cell r="H56" t="str">
            <v>BEN 2012</v>
          </cell>
          <cell r="I56">
            <v>94600</v>
          </cell>
          <cell r="J56" t="str">
            <v>MCT 2010</v>
          </cell>
          <cell r="K56">
            <v>1</v>
          </cell>
          <cell r="L56">
            <v>10</v>
          </cell>
          <cell r="M56">
            <v>10</v>
          </cell>
          <cell r="N56">
            <v>300</v>
          </cell>
          <cell r="O56">
            <v>1.5</v>
          </cell>
          <cell r="P56">
            <v>1.5</v>
          </cell>
          <cell r="Q56">
            <v>1.5</v>
          </cell>
          <cell r="R56">
            <v>1.5</v>
          </cell>
          <cell r="T56">
            <v>1762.5171959999998</v>
          </cell>
          <cell r="U56">
            <v>1.8631259999999997E-2</v>
          </cell>
          <cell r="V56">
            <v>0.18631259999999997</v>
          </cell>
          <cell r="W56">
            <v>0.18631259999999997</v>
          </cell>
          <cell r="X56">
            <v>5.5893779999999991</v>
          </cell>
          <cell r="Y56">
            <v>2.7946889999999995E-2</v>
          </cell>
          <cell r="Z56">
            <v>2.7946889999999995E-2</v>
          </cell>
          <cell r="AA56">
            <v>2.7946889999999995E-2</v>
          </cell>
          <cell r="AB56">
            <v>2.7946889999999995E-2</v>
          </cell>
        </row>
        <row r="57">
          <cell r="B57">
            <v>12</v>
          </cell>
          <cell r="C57" t="str">
            <v>Carvão Vapor 5200 kcal / kg</v>
          </cell>
          <cell r="D57" t="str">
            <v>Other Bituminous Coal</v>
          </cell>
          <cell r="E57" t="str">
            <v>Toneladas</v>
          </cell>
          <cell r="F57">
            <v>20.515319999999999</v>
          </cell>
          <cell r="G57">
            <v>1000</v>
          </cell>
          <cell r="H57" t="str">
            <v>BEN 2012</v>
          </cell>
          <cell r="I57">
            <v>94600</v>
          </cell>
          <cell r="J57" t="str">
            <v>MCT 2010</v>
          </cell>
          <cell r="K57">
            <v>1</v>
          </cell>
          <cell r="L57">
            <v>10</v>
          </cell>
          <cell r="M57">
            <v>10</v>
          </cell>
          <cell r="N57">
            <v>300</v>
          </cell>
          <cell r="O57">
            <v>1.5</v>
          </cell>
          <cell r="P57">
            <v>1.5</v>
          </cell>
          <cell r="Q57">
            <v>1.5</v>
          </cell>
          <cell r="R57">
            <v>1.5</v>
          </cell>
          <cell r="T57">
            <v>1940.749272</v>
          </cell>
          <cell r="U57">
            <v>2.051532E-2</v>
          </cell>
          <cell r="V57">
            <v>0.20515320000000001</v>
          </cell>
          <cell r="W57">
            <v>0.20515320000000001</v>
          </cell>
          <cell r="X57">
            <v>6.1545959999999997</v>
          </cell>
          <cell r="Y57">
            <v>3.0772979999999995E-2</v>
          </cell>
          <cell r="Z57">
            <v>3.0772979999999995E-2</v>
          </cell>
          <cell r="AA57">
            <v>3.0772979999999995E-2</v>
          </cell>
          <cell r="AB57">
            <v>3.0772979999999995E-2</v>
          </cell>
        </row>
        <row r="58">
          <cell r="B58">
            <v>13</v>
          </cell>
          <cell r="C58" t="str">
            <v>Carvão Vapor 5900 kcal / kg</v>
          </cell>
          <cell r="D58" t="str">
            <v>Other Bituminous Coal</v>
          </cell>
          <cell r="E58" t="str">
            <v>Toneladas</v>
          </cell>
          <cell r="F58">
            <v>23.446079999999998</v>
          </cell>
          <cell r="G58">
            <v>1000</v>
          </cell>
          <cell r="H58" t="str">
            <v>BEN 2012</v>
          </cell>
          <cell r="I58">
            <v>94600</v>
          </cell>
          <cell r="J58" t="str">
            <v>MCT 2010</v>
          </cell>
          <cell r="K58">
            <v>1</v>
          </cell>
          <cell r="L58">
            <v>10</v>
          </cell>
          <cell r="M58">
            <v>10</v>
          </cell>
          <cell r="N58">
            <v>300</v>
          </cell>
          <cell r="O58">
            <v>1.5</v>
          </cell>
          <cell r="P58">
            <v>1.5</v>
          </cell>
          <cell r="Q58">
            <v>1.5</v>
          </cell>
          <cell r="R58">
            <v>1.5</v>
          </cell>
          <cell r="T58">
            <v>2217.9991679999998</v>
          </cell>
          <cell r="U58">
            <v>2.3446079999999998E-2</v>
          </cell>
          <cell r="V58">
            <v>0.2344608</v>
          </cell>
          <cell r="W58">
            <v>0.2344608</v>
          </cell>
          <cell r="X58">
            <v>7.0338240000000001</v>
          </cell>
          <cell r="Y58">
            <v>3.5169120000000005E-2</v>
          </cell>
          <cell r="Z58">
            <v>3.5169120000000005E-2</v>
          </cell>
          <cell r="AA58">
            <v>3.5169120000000005E-2</v>
          </cell>
          <cell r="AB58">
            <v>3.5169120000000005E-2</v>
          </cell>
        </row>
        <row r="59">
          <cell r="B59">
            <v>14</v>
          </cell>
          <cell r="C59" t="str">
            <v>Carvão Vapor 6000 kcal / kg</v>
          </cell>
          <cell r="D59" t="str">
            <v>Other Bituminous Coal</v>
          </cell>
          <cell r="E59" t="str">
            <v>Toneladas</v>
          </cell>
          <cell r="F59">
            <v>23.864759999999997</v>
          </cell>
          <cell r="G59">
            <v>1000</v>
          </cell>
          <cell r="H59" t="str">
            <v>BEN 2012</v>
          </cell>
          <cell r="I59">
            <v>94600</v>
          </cell>
          <cell r="J59" t="str">
            <v>MCT 2010</v>
          </cell>
          <cell r="K59">
            <v>1</v>
          </cell>
          <cell r="L59">
            <v>10</v>
          </cell>
          <cell r="M59">
            <v>10</v>
          </cell>
          <cell r="N59">
            <v>300</v>
          </cell>
          <cell r="O59">
            <v>1.5</v>
          </cell>
          <cell r="P59">
            <v>1.5</v>
          </cell>
          <cell r="Q59">
            <v>1.5</v>
          </cell>
          <cell r="R59">
            <v>1.5</v>
          </cell>
          <cell r="T59">
            <v>2257.6062959999995</v>
          </cell>
          <cell r="U59">
            <v>2.3864759999999999E-2</v>
          </cell>
          <cell r="V59">
            <v>0.23864759999999996</v>
          </cell>
          <cell r="W59">
            <v>0.23864759999999996</v>
          </cell>
          <cell r="X59">
            <v>7.1594279999999992</v>
          </cell>
          <cell r="Y59">
            <v>3.5797139999999998E-2</v>
          </cell>
          <cell r="Z59">
            <v>3.5797139999999998E-2</v>
          </cell>
          <cell r="AA59">
            <v>3.5797139999999998E-2</v>
          </cell>
          <cell r="AB59">
            <v>3.5797139999999998E-2</v>
          </cell>
        </row>
        <row r="60">
          <cell r="B60">
            <v>15</v>
          </cell>
          <cell r="C60" t="str">
            <v>Carvão Vapor sem Especificação</v>
          </cell>
          <cell r="D60" t="str">
            <v>Other Bituminous Coal</v>
          </cell>
          <cell r="E60" t="str">
            <v>Toneladas</v>
          </cell>
          <cell r="F60">
            <v>11.932379999999998</v>
          </cell>
          <cell r="G60">
            <v>1000</v>
          </cell>
          <cell r="H60" t="str">
            <v>BEN 2012</v>
          </cell>
          <cell r="I60">
            <v>94600</v>
          </cell>
          <cell r="J60" t="str">
            <v>MCT 2010</v>
          </cell>
          <cell r="K60">
            <v>1</v>
          </cell>
          <cell r="L60">
            <v>10</v>
          </cell>
          <cell r="M60">
            <v>10</v>
          </cell>
          <cell r="N60">
            <v>300</v>
          </cell>
          <cell r="O60">
            <v>1.5</v>
          </cell>
          <cell r="P60">
            <v>1.5</v>
          </cell>
          <cell r="Q60">
            <v>1.5</v>
          </cell>
          <cell r="R60">
            <v>1.5</v>
          </cell>
          <cell r="T60">
            <v>1128.8031479999997</v>
          </cell>
          <cell r="U60">
            <v>1.1932379999999999E-2</v>
          </cell>
          <cell r="V60">
            <v>0.11932379999999998</v>
          </cell>
          <cell r="W60">
            <v>0.11932379999999998</v>
          </cell>
          <cell r="X60">
            <v>3.5797139999999996</v>
          </cell>
          <cell r="Y60">
            <v>1.7898569999999999E-2</v>
          </cell>
          <cell r="Z60">
            <v>1.7898569999999999E-2</v>
          </cell>
          <cell r="AA60">
            <v>1.7898569999999999E-2</v>
          </cell>
          <cell r="AB60">
            <v>1.7898569999999999E-2</v>
          </cell>
        </row>
        <row r="61">
          <cell r="B61">
            <v>16</v>
          </cell>
          <cell r="C61" t="str">
            <v>Coque de Carvão Mineral</v>
          </cell>
          <cell r="D61" t="str">
            <v>Coke Oven Coke and Lignite Coke</v>
          </cell>
          <cell r="E61" t="str">
            <v>Toneladas</v>
          </cell>
          <cell r="F61">
            <v>28.888919999999999</v>
          </cell>
          <cell r="G61">
            <v>1000</v>
          </cell>
          <cell r="H61" t="str">
            <v>BEN 2012</v>
          </cell>
          <cell r="I61">
            <v>107000</v>
          </cell>
          <cell r="J61" t="str">
            <v>MCT 2010</v>
          </cell>
          <cell r="K61">
            <v>1</v>
          </cell>
          <cell r="L61">
            <v>10</v>
          </cell>
          <cell r="M61">
            <v>10</v>
          </cell>
          <cell r="N61">
            <v>300</v>
          </cell>
          <cell r="O61">
            <v>1.5</v>
          </cell>
          <cell r="P61">
            <v>1.5</v>
          </cell>
          <cell r="Q61">
            <v>1.5</v>
          </cell>
          <cell r="R61">
            <v>1.5</v>
          </cell>
          <cell r="T61">
            <v>3091.1144399999998</v>
          </cell>
          <cell r="U61">
            <v>2.8888919999999998E-2</v>
          </cell>
          <cell r="V61">
            <v>0.28888919999999996</v>
          </cell>
          <cell r="W61">
            <v>0.28888919999999996</v>
          </cell>
          <cell r="X61">
            <v>8.6666760000000007</v>
          </cell>
          <cell r="Y61">
            <v>4.3333379999999998E-2</v>
          </cell>
          <cell r="Z61">
            <v>4.3333379999999998E-2</v>
          </cell>
          <cell r="AA61">
            <v>4.3333379999999998E-2</v>
          </cell>
          <cell r="AB61">
            <v>4.3333379999999998E-2</v>
          </cell>
        </row>
        <row r="62">
          <cell r="B62">
            <v>17</v>
          </cell>
          <cell r="C62" t="str">
            <v>Coque de Petróleo</v>
          </cell>
          <cell r="D62" t="str">
            <v>Petroleum Coke</v>
          </cell>
          <cell r="E62" t="str">
            <v>m³</v>
          </cell>
          <cell r="F62">
            <v>35.127251999999999</v>
          </cell>
          <cell r="G62">
            <v>1040</v>
          </cell>
          <cell r="H62" t="str">
            <v>BEN 2012</v>
          </cell>
          <cell r="I62">
            <v>97500</v>
          </cell>
          <cell r="J62" t="str">
            <v>MCT 2010</v>
          </cell>
          <cell r="K62">
            <v>3</v>
          </cell>
          <cell r="L62">
            <v>3</v>
          </cell>
          <cell r="M62">
            <v>10</v>
          </cell>
          <cell r="N62">
            <v>10</v>
          </cell>
          <cell r="O62">
            <v>0.6</v>
          </cell>
          <cell r="P62">
            <v>0.6</v>
          </cell>
          <cell r="Q62">
            <v>0.6</v>
          </cell>
          <cell r="R62">
            <v>0.6</v>
          </cell>
          <cell r="T62">
            <v>3561.9033527999995</v>
          </cell>
          <cell r="U62">
            <v>0.10959702623999999</v>
          </cell>
          <cell r="V62">
            <v>0.10959702623999999</v>
          </cell>
          <cell r="W62">
            <v>0.36532342079999996</v>
          </cell>
          <cell r="X62">
            <v>0.36532342079999996</v>
          </cell>
          <cell r="Y62">
            <v>2.1919405247999998E-2</v>
          </cell>
          <cell r="Z62">
            <v>2.1919405247999998E-2</v>
          </cell>
          <cell r="AA62">
            <v>2.1919405247999998E-2</v>
          </cell>
          <cell r="AB62">
            <v>2.1919405247999998E-2</v>
          </cell>
        </row>
        <row r="63">
          <cell r="B63">
            <v>18</v>
          </cell>
          <cell r="C63" t="str">
            <v>Etano</v>
          </cell>
          <cell r="D63" t="str">
            <v>Ethane</v>
          </cell>
          <cell r="E63" t="str">
            <v>Toneladas</v>
          </cell>
          <cell r="F63">
            <v>46.4</v>
          </cell>
          <cell r="G63">
            <v>1000</v>
          </cell>
          <cell r="H63" t="str">
            <v>IPCC 2006</v>
          </cell>
          <cell r="I63">
            <v>61600</v>
          </cell>
          <cell r="J63" t="str">
            <v>IPCC 2006</v>
          </cell>
          <cell r="K63">
            <v>1</v>
          </cell>
          <cell r="L63">
            <v>1</v>
          </cell>
          <cell r="M63">
            <v>5</v>
          </cell>
          <cell r="N63">
            <v>5</v>
          </cell>
          <cell r="O63">
            <v>0.1</v>
          </cell>
          <cell r="P63">
            <v>0.1</v>
          </cell>
          <cell r="Q63">
            <v>0.1</v>
          </cell>
          <cell r="R63">
            <v>0.1</v>
          </cell>
          <cell r="T63">
            <v>2858.24</v>
          </cell>
          <cell r="U63">
            <v>4.6399999999999997E-2</v>
          </cell>
          <cell r="V63">
            <v>4.6399999999999997E-2</v>
          </cell>
          <cell r="W63">
            <v>0.23200000000000001</v>
          </cell>
          <cell r="X63">
            <v>0.23200000000000001</v>
          </cell>
          <cell r="Y63">
            <v>4.64E-3</v>
          </cell>
          <cell r="Z63">
            <v>4.64E-3</v>
          </cell>
          <cell r="AA63">
            <v>4.64E-3</v>
          </cell>
          <cell r="AB63">
            <v>4.64E-3</v>
          </cell>
        </row>
        <row r="64">
          <cell r="B64">
            <v>19</v>
          </cell>
          <cell r="C64" t="str">
            <v>Gás de Coqueria</v>
          </cell>
          <cell r="D64" t="str">
            <v>Coke Oven Gas</v>
          </cell>
          <cell r="E64" t="str">
            <v>Toneladas</v>
          </cell>
          <cell r="F64">
            <v>38.700000000000003</v>
          </cell>
          <cell r="G64">
            <v>1000</v>
          </cell>
          <cell r="H64" t="str">
            <v>IPCC 2006</v>
          </cell>
          <cell r="I64">
            <v>44400</v>
          </cell>
          <cell r="J64" t="str">
            <v>IPCC 2006</v>
          </cell>
          <cell r="K64">
            <v>1</v>
          </cell>
          <cell r="L64">
            <v>1</v>
          </cell>
          <cell r="M64">
            <v>5</v>
          </cell>
          <cell r="N64">
            <v>5</v>
          </cell>
          <cell r="O64">
            <v>0.1</v>
          </cell>
          <cell r="P64">
            <v>0.1</v>
          </cell>
          <cell r="Q64">
            <v>0.1</v>
          </cell>
          <cell r="R64">
            <v>0.1</v>
          </cell>
          <cell r="T64">
            <v>1718.2800000000002</v>
          </cell>
          <cell r="U64">
            <v>3.8699999999999998E-2</v>
          </cell>
          <cell r="V64">
            <v>3.8699999999999998E-2</v>
          </cell>
          <cell r="W64">
            <v>0.19350000000000001</v>
          </cell>
          <cell r="X64">
            <v>0.19350000000000001</v>
          </cell>
          <cell r="Y64">
            <v>3.8700000000000006E-3</v>
          </cell>
          <cell r="Z64">
            <v>3.8700000000000006E-3</v>
          </cell>
          <cell r="AA64">
            <v>3.8700000000000006E-3</v>
          </cell>
          <cell r="AB64">
            <v>3.8700000000000006E-3</v>
          </cell>
        </row>
        <row r="65">
          <cell r="B65">
            <v>20</v>
          </cell>
          <cell r="C65" t="str">
            <v>Gás de Refinaria</v>
          </cell>
          <cell r="D65" t="str">
            <v>Refinery Gas</v>
          </cell>
          <cell r="E65" t="str">
            <v>Toneladas</v>
          </cell>
          <cell r="F65">
            <v>49.5</v>
          </cell>
          <cell r="G65">
            <v>1000</v>
          </cell>
          <cell r="H65" t="str">
            <v>IPCC 2006</v>
          </cell>
          <cell r="I65">
            <v>57600</v>
          </cell>
          <cell r="J65" t="str">
            <v>IPCC 2006</v>
          </cell>
          <cell r="K65">
            <v>1</v>
          </cell>
          <cell r="L65">
            <v>1</v>
          </cell>
          <cell r="M65">
            <v>5</v>
          </cell>
          <cell r="N65">
            <v>5</v>
          </cell>
          <cell r="O65">
            <v>0.1</v>
          </cell>
          <cell r="P65">
            <v>0.1</v>
          </cell>
          <cell r="Q65">
            <v>0.1</v>
          </cell>
          <cell r="R65">
            <v>0.1</v>
          </cell>
          <cell r="T65">
            <v>2851.2</v>
          </cell>
          <cell r="U65">
            <v>4.9500000000000002E-2</v>
          </cell>
          <cell r="V65">
            <v>4.9500000000000002E-2</v>
          </cell>
          <cell r="W65">
            <v>0.2475</v>
          </cell>
          <cell r="X65">
            <v>0.2475</v>
          </cell>
          <cell r="Y65">
            <v>4.9500000000000004E-3</v>
          </cell>
          <cell r="Z65">
            <v>4.9500000000000004E-3</v>
          </cell>
          <cell r="AA65">
            <v>4.9500000000000004E-3</v>
          </cell>
          <cell r="AB65">
            <v>4.9500000000000004E-3</v>
          </cell>
        </row>
        <row r="66">
          <cell r="B66">
            <v>21</v>
          </cell>
          <cell r="C66" t="str">
            <v>Gás Liquefeito de Petróleo (GLP)</v>
          </cell>
          <cell r="D66" t="str">
            <v>Liquefied Petroleum Gases</v>
          </cell>
          <cell r="E66" t="str">
            <v>Toneladas</v>
          </cell>
          <cell r="F66">
            <v>46.473479999999995</v>
          </cell>
          <cell r="G66">
            <v>1000</v>
          </cell>
          <cell r="H66" t="str">
            <v>BEN 2012</v>
          </cell>
          <cell r="I66">
            <v>63100</v>
          </cell>
          <cell r="J66" t="str">
            <v>MCT 2010</v>
          </cell>
          <cell r="K66">
            <v>1</v>
          </cell>
          <cell r="L66">
            <v>1</v>
          </cell>
          <cell r="M66">
            <v>5</v>
          </cell>
          <cell r="N66">
            <v>5</v>
          </cell>
          <cell r="O66">
            <v>0.1</v>
          </cell>
          <cell r="P66">
            <v>0.1</v>
          </cell>
          <cell r="Q66">
            <v>0.1</v>
          </cell>
          <cell r="R66">
            <v>0.1</v>
          </cell>
          <cell r="T66">
            <v>2932.4765879999995</v>
          </cell>
          <cell r="U66">
            <v>4.6473479999999998E-2</v>
          </cell>
          <cell r="V66">
            <v>4.6473479999999998E-2</v>
          </cell>
          <cell r="W66">
            <v>0.23236739999999997</v>
          </cell>
          <cell r="X66">
            <v>0.23236739999999997</v>
          </cell>
          <cell r="Y66">
            <v>4.6473479999999999E-3</v>
          </cell>
          <cell r="Z66">
            <v>4.6473479999999999E-3</v>
          </cell>
          <cell r="AA66">
            <v>4.6473479999999999E-3</v>
          </cell>
          <cell r="AB66">
            <v>4.6473479999999999E-3</v>
          </cell>
        </row>
        <row r="67">
          <cell r="B67">
            <v>22</v>
          </cell>
          <cell r="C67" t="str">
            <v>Gás Natural Seco</v>
          </cell>
          <cell r="D67" t="str">
            <v>Natural Gas</v>
          </cell>
          <cell r="E67" t="str">
            <v>m³</v>
          </cell>
          <cell r="F67">
            <v>49.788972972972971</v>
          </cell>
          <cell r="G67">
            <v>0.74</v>
          </cell>
          <cell r="H67" t="str">
            <v>BEN 2012</v>
          </cell>
          <cell r="I67">
            <v>56100</v>
          </cell>
          <cell r="J67" t="str">
            <v>MCT 2010</v>
          </cell>
          <cell r="K67">
            <v>1</v>
          </cell>
          <cell r="L67">
            <v>1</v>
          </cell>
          <cell r="M67">
            <v>5</v>
          </cell>
          <cell r="N67">
            <v>5</v>
          </cell>
          <cell r="O67">
            <v>0.1</v>
          </cell>
          <cell r="P67">
            <v>0.1</v>
          </cell>
          <cell r="Q67">
            <v>0.1</v>
          </cell>
          <cell r="R67">
            <v>0.1</v>
          </cell>
          <cell r="T67">
            <v>2.0669394240000001</v>
          </cell>
          <cell r="U67">
            <v>3.6843839999999997E-5</v>
          </cell>
          <cell r="V67">
            <v>3.6843839999999997E-5</v>
          </cell>
          <cell r="W67">
            <v>1.8421919999999999E-4</v>
          </cell>
          <cell r="X67">
            <v>1.8421919999999999E-4</v>
          </cell>
          <cell r="Y67">
            <v>3.6843840000000007E-6</v>
          </cell>
          <cell r="Z67">
            <v>3.6843840000000007E-6</v>
          </cell>
          <cell r="AA67">
            <v>3.6843840000000007E-6</v>
          </cell>
          <cell r="AB67">
            <v>3.6843840000000007E-6</v>
          </cell>
        </row>
        <row r="68">
          <cell r="B68">
            <v>23</v>
          </cell>
          <cell r="C68" t="str">
            <v>Gás Natural Úmido</v>
          </cell>
          <cell r="D68" t="str">
            <v>Natural Gas</v>
          </cell>
          <cell r="E68" t="str">
            <v>m³</v>
          </cell>
          <cell r="F68">
            <v>56.182329729729723</v>
          </cell>
          <cell r="G68">
            <v>0.74</v>
          </cell>
          <cell r="H68" t="str">
            <v>BEN 2012</v>
          </cell>
          <cell r="I68">
            <v>56100</v>
          </cell>
          <cell r="J68" t="str">
            <v>MCT 2010</v>
          </cell>
          <cell r="K68">
            <v>1</v>
          </cell>
          <cell r="L68">
            <v>1</v>
          </cell>
          <cell r="M68">
            <v>5</v>
          </cell>
          <cell r="N68">
            <v>5</v>
          </cell>
          <cell r="O68">
            <v>0.1</v>
          </cell>
          <cell r="P68">
            <v>0.1</v>
          </cell>
          <cell r="Q68">
            <v>0.1</v>
          </cell>
          <cell r="R68">
            <v>0.1</v>
          </cell>
          <cell r="T68">
            <v>2.3323532363999999</v>
          </cell>
          <cell r="U68">
            <v>4.1574923999999993E-5</v>
          </cell>
          <cell r="V68">
            <v>4.1574923999999993E-5</v>
          </cell>
          <cell r="W68">
            <v>2.0787461999999997E-4</v>
          </cell>
          <cell r="X68">
            <v>2.0787461999999997E-4</v>
          </cell>
          <cell r="Y68">
            <v>4.1574924E-6</v>
          </cell>
          <cell r="Z68">
            <v>4.1574924E-6</v>
          </cell>
          <cell r="AA68">
            <v>4.1574924E-6</v>
          </cell>
          <cell r="AB68">
            <v>4.1574924E-6</v>
          </cell>
        </row>
        <row r="69">
          <cell r="B69">
            <v>24</v>
          </cell>
          <cell r="C69" t="str">
            <v>Gasolina Automotiva (pura)</v>
          </cell>
          <cell r="D69" t="str">
            <v>Motor Gasoline</v>
          </cell>
          <cell r="E69" t="str">
            <v>Litros</v>
          </cell>
          <cell r="F69">
            <v>43.542720000000003</v>
          </cell>
          <cell r="G69">
            <v>0.74199999999999999</v>
          </cell>
          <cell r="H69" t="str">
            <v>BEN 2012</v>
          </cell>
          <cell r="I69">
            <v>69300</v>
          </cell>
          <cell r="J69" t="str">
            <v>MCT 2010</v>
          </cell>
          <cell r="K69">
            <v>3</v>
          </cell>
          <cell r="L69">
            <v>3</v>
          </cell>
          <cell r="M69">
            <v>10</v>
          </cell>
          <cell r="N69">
            <v>10</v>
          </cell>
          <cell r="O69">
            <v>0.6</v>
          </cell>
          <cell r="P69">
            <v>0.6</v>
          </cell>
          <cell r="Q69">
            <v>0.6</v>
          </cell>
          <cell r="R69">
            <v>0.6</v>
          </cell>
          <cell r="T69">
            <v>2.2389927880319997</v>
          </cell>
          <cell r="U69">
            <v>9.6926094720000005E-5</v>
          </cell>
          <cell r="V69">
            <v>9.6926094720000005E-5</v>
          </cell>
          <cell r="W69">
            <v>3.2308698239999999E-4</v>
          </cell>
          <cell r="X69">
            <v>3.2308698239999999E-4</v>
          </cell>
          <cell r="Y69">
            <v>1.9385218944E-5</v>
          </cell>
          <cell r="Z69">
            <v>1.9385218944E-5</v>
          </cell>
          <cell r="AA69">
            <v>1.9385218944E-5</v>
          </cell>
          <cell r="AB69">
            <v>1.9385218944E-5</v>
          </cell>
        </row>
        <row r="70">
          <cell r="B70">
            <v>25</v>
          </cell>
          <cell r="C70" t="str">
            <v>Gasolina de Aviação</v>
          </cell>
          <cell r="D70" t="str">
            <v>Aviation Gasoline</v>
          </cell>
          <cell r="E70" t="str">
            <v>Litros</v>
          </cell>
          <cell r="F70">
            <v>44.38008</v>
          </cell>
          <cell r="G70">
            <v>0.72599999999999998</v>
          </cell>
          <cell r="H70" t="str">
            <v>BEN 2012</v>
          </cell>
          <cell r="I70">
            <v>71500</v>
          </cell>
          <cell r="J70" t="str">
            <v>MCT 2010</v>
          </cell>
          <cell r="K70">
            <v>3</v>
          </cell>
          <cell r="L70">
            <v>3</v>
          </cell>
          <cell r="M70">
            <v>10</v>
          </cell>
          <cell r="N70">
            <v>10</v>
          </cell>
          <cell r="O70">
            <v>0.6</v>
          </cell>
          <cell r="P70">
            <v>0.6</v>
          </cell>
          <cell r="Q70">
            <v>0.6</v>
          </cell>
          <cell r="R70">
            <v>0.6</v>
          </cell>
          <cell r="T70">
            <v>2.3037255727199994</v>
          </cell>
          <cell r="U70">
            <v>9.6659814240000007E-5</v>
          </cell>
          <cell r="V70">
            <v>9.6659814240000007E-5</v>
          </cell>
          <cell r="W70">
            <v>3.221993808E-4</v>
          </cell>
          <cell r="X70">
            <v>3.221993808E-4</v>
          </cell>
          <cell r="Y70">
            <v>1.9331962848000001E-5</v>
          </cell>
          <cell r="Z70">
            <v>1.9331962848000001E-5</v>
          </cell>
          <cell r="AA70">
            <v>1.9331962848000001E-5</v>
          </cell>
          <cell r="AB70">
            <v>1.9331962848000001E-5</v>
          </cell>
        </row>
        <row r="71">
          <cell r="B71">
            <v>26</v>
          </cell>
          <cell r="C71" t="str">
            <v>Líquidos de Gás Natural (LGN)</v>
          </cell>
          <cell r="D71" t="str">
            <v>Natural Gas Liquids</v>
          </cell>
          <cell r="E71" t="str">
            <v>Toneladas</v>
          </cell>
          <cell r="F71">
            <v>44.2</v>
          </cell>
          <cell r="G71">
            <v>1000</v>
          </cell>
          <cell r="H71" t="str">
            <v>IPCC 2006</v>
          </cell>
          <cell r="I71">
            <v>64200</v>
          </cell>
          <cell r="J71" t="str">
            <v>IPCC 2006</v>
          </cell>
          <cell r="K71">
            <v>3</v>
          </cell>
          <cell r="L71">
            <v>3</v>
          </cell>
          <cell r="M71">
            <v>10</v>
          </cell>
          <cell r="N71">
            <v>10</v>
          </cell>
          <cell r="O71">
            <v>0.6</v>
          </cell>
          <cell r="P71">
            <v>0.6</v>
          </cell>
          <cell r="Q71">
            <v>0.6</v>
          </cell>
          <cell r="R71">
            <v>0.6</v>
          </cell>
          <cell r="T71">
            <v>2837.64</v>
          </cell>
          <cell r="U71">
            <v>0.13260000000000002</v>
          </cell>
          <cell r="V71">
            <v>0.13260000000000002</v>
          </cell>
          <cell r="W71">
            <v>0.442</v>
          </cell>
          <cell r="X71">
            <v>0.442</v>
          </cell>
          <cell r="Y71">
            <v>2.6519999999999998E-2</v>
          </cell>
          <cell r="Z71">
            <v>2.6519999999999998E-2</v>
          </cell>
          <cell r="AA71">
            <v>2.6519999999999998E-2</v>
          </cell>
          <cell r="AB71">
            <v>2.6519999999999998E-2</v>
          </cell>
        </row>
        <row r="72">
          <cell r="B72">
            <v>27</v>
          </cell>
          <cell r="C72" t="str">
            <v>Lubrificantes</v>
          </cell>
          <cell r="D72" t="str">
            <v>Lubricants</v>
          </cell>
          <cell r="E72" t="str">
            <v>Litros</v>
          </cell>
          <cell r="F72">
            <v>42.370415999999999</v>
          </cell>
          <cell r="G72">
            <v>0.875</v>
          </cell>
          <cell r="H72" t="str">
            <v>BEN 2012</v>
          </cell>
          <cell r="I72">
            <v>73300</v>
          </cell>
          <cell r="J72" t="str">
            <v>MCT 2010</v>
          </cell>
          <cell r="K72">
            <v>3</v>
          </cell>
          <cell r="L72">
            <v>3</v>
          </cell>
          <cell r="M72">
            <v>10</v>
          </cell>
          <cell r="N72">
            <v>10</v>
          </cell>
          <cell r="O72">
            <v>0.6</v>
          </cell>
          <cell r="P72">
            <v>0.6</v>
          </cell>
          <cell r="Q72">
            <v>0.6</v>
          </cell>
          <cell r="R72">
            <v>0.6</v>
          </cell>
          <cell r="T72">
            <v>2.7175325562000001</v>
          </cell>
          <cell r="U72">
            <v>1.11222342E-4</v>
          </cell>
          <cell r="V72">
            <v>1.11222342E-4</v>
          </cell>
          <cell r="W72">
            <v>3.7074113999999999E-4</v>
          </cell>
          <cell r="X72">
            <v>3.7074113999999999E-4</v>
          </cell>
          <cell r="Y72">
            <v>2.2244468399999999E-5</v>
          </cell>
          <cell r="Z72">
            <v>2.2244468399999999E-5</v>
          </cell>
          <cell r="AA72">
            <v>2.2244468399999999E-5</v>
          </cell>
          <cell r="AB72">
            <v>2.2244468399999999E-5</v>
          </cell>
        </row>
        <row r="73">
          <cell r="B73">
            <v>28</v>
          </cell>
          <cell r="C73" t="str">
            <v>Nafta</v>
          </cell>
          <cell r="D73" t="str">
            <v>Naphtha</v>
          </cell>
          <cell r="E73" t="str">
            <v>m³</v>
          </cell>
          <cell r="F73">
            <v>44.505684000000002</v>
          </cell>
          <cell r="G73">
            <v>702</v>
          </cell>
          <cell r="H73" t="str">
            <v>BEN 2012</v>
          </cell>
          <cell r="I73">
            <v>73300</v>
          </cell>
          <cell r="J73" t="str">
            <v>MCT 2010</v>
          </cell>
          <cell r="K73">
            <v>3</v>
          </cell>
          <cell r="L73">
            <v>3</v>
          </cell>
          <cell r="M73">
            <v>10</v>
          </cell>
          <cell r="N73">
            <v>10</v>
          </cell>
          <cell r="O73">
            <v>0.6</v>
          </cell>
          <cell r="P73">
            <v>0.6</v>
          </cell>
          <cell r="Q73">
            <v>0.6</v>
          </cell>
          <cell r="R73">
            <v>0.6</v>
          </cell>
          <cell r="T73">
            <v>2290.1111793144</v>
          </cell>
          <cell r="U73">
            <v>9.3728970504000017E-2</v>
          </cell>
          <cell r="V73">
            <v>9.3728970504000017E-2</v>
          </cell>
          <cell r="W73">
            <v>0.31242990168000001</v>
          </cell>
          <cell r="X73">
            <v>0.31242990168000001</v>
          </cell>
          <cell r="Y73">
            <v>1.8745794100799996E-2</v>
          </cell>
          <cell r="Z73">
            <v>1.8745794100799996E-2</v>
          </cell>
          <cell r="AA73">
            <v>1.8745794100799996E-2</v>
          </cell>
          <cell r="AB73">
            <v>1.8745794100799996E-2</v>
          </cell>
        </row>
        <row r="74">
          <cell r="B74">
            <v>29</v>
          </cell>
          <cell r="C74" t="str">
            <v>Óleo Combustível</v>
          </cell>
          <cell r="D74" t="str">
            <v>Residual Fuel Oil</v>
          </cell>
          <cell r="E74" t="str">
            <v>Litros</v>
          </cell>
          <cell r="F74">
            <v>40.151411999999993</v>
          </cell>
          <cell r="G74">
            <v>1</v>
          </cell>
          <cell r="H74" t="str">
            <v>BEN 2012</v>
          </cell>
          <cell r="I74">
            <v>77400</v>
          </cell>
          <cell r="J74" t="str">
            <v>MCT 2010</v>
          </cell>
          <cell r="K74">
            <v>3</v>
          </cell>
          <cell r="L74">
            <v>3</v>
          </cell>
          <cell r="M74">
            <v>10</v>
          </cell>
          <cell r="N74">
            <v>10</v>
          </cell>
          <cell r="O74">
            <v>0.6</v>
          </cell>
          <cell r="P74">
            <v>0.6</v>
          </cell>
          <cell r="Q74">
            <v>0.6</v>
          </cell>
          <cell r="R74">
            <v>0.6</v>
          </cell>
          <cell r="T74">
            <v>3.1077192887999994</v>
          </cell>
          <cell r="U74">
            <v>1.2045423599999997E-4</v>
          </cell>
          <cell r="V74">
            <v>1.2045423599999997E-4</v>
          </cell>
          <cell r="W74">
            <v>4.0151411999999996E-4</v>
          </cell>
          <cell r="X74">
            <v>4.0151411999999996E-4</v>
          </cell>
          <cell r="Y74">
            <v>2.4090847199999995E-5</v>
          </cell>
          <cell r="Z74">
            <v>2.4090847199999995E-5</v>
          </cell>
          <cell r="AA74">
            <v>2.4090847199999995E-5</v>
          </cell>
          <cell r="AB74">
            <v>2.4090847199999995E-5</v>
          </cell>
        </row>
        <row r="75">
          <cell r="B75">
            <v>30</v>
          </cell>
          <cell r="C75" t="str">
            <v>Óleo de Xisto</v>
          </cell>
          <cell r="D75" t="str">
            <v>Shale Oil</v>
          </cell>
          <cell r="E75" t="str">
            <v>Toneladas</v>
          </cell>
          <cell r="F75">
            <v>38.1</v>
          </cell>
          <cell r="G75">
            <v>1000</v>
          </cell>
          <cell r="H75" t="str">
            <v>IPCC 2006</v>
          </cell>
          <cell r="I75">
            <v>73300</v>
          </cell>
          <cell r="J75" t="str">
            <v>IPCC 2006</v>
          </cell>
          <cell r="K75">
            <v>3</v>
          </cell>
          <cell r="L75">
            <v>3</v>
          </cell>
          <cell r="M75">
            <v>10</v>
          </cell>
          <cell r="N75">
            <v>10</v>
          </cell>
          <cell r="O75">
            <v>0.6</v>
          </cell>
          <cell r="P75">
            <v>0.6</v>
          </cell>
          <cell r="Q75">
            <v>0.6</v>
          </cell>
          <cell r="R75">
            <v>0.6</v>
          </cell>
          <cell r="T75">
            <v>2792.73</v>
          </cell>
          <cell r="U75">
            <v>0.11430000000000001</v>
          </cell>
          <cell r="V75">
            <v>0.11430000000000001</v>
          </cell>
          <cell r="W75">
            <v>0.38100000000000001</v>
          </cell>
          <cell r="X75">
            <v>0.38100000000000001</v>
          </cell>
          <cell r="Y75">
            <v>2.2859999999999998E-2</v>
          </cell>
          <cell r="Z75">
            <v>2.2859999999999998E-2</v>
          </cell>
          <cell r="AA75">
            <v>2.2859999999999998E-2</v>
          </cell>
          <cell r="AB75">
            <v>2.2859999999999998E-2</v>
          </cell>
        </row>
        <row r="76">
          <cell r="B76">
            <v>31</v>
          </cell>
          <cell r="C76" t="str">
            <v>Óleo Diesel (puro)</v>
          </cell>
          <cell r="D76" t="str">
            <v>Diesel Oil</v>
          </cell>
          <cell r="E76" t="str">
            <v>Litros</v>
          </cell>
          <cell r="F76">
            <v>42.286679999999997</v>
          </cell>
          <cell r="G76">
            <v>0.84</v>
          </cell>
          <cell r="H76" t="str">
            <v>BEN 2012</v>
          </cell>
          <cell r="I76">
            <v>74100</v>
          </cell>
          <cell r="J76" t="str">
            <v>MCT 2010</v>
          </cell>
          <cell r="K76">
            <v>3</v>
          </cell>
          <cell r="L76">
            <v>3</v>
          </cell>
          <cell r="M76">
            <v>10</v>
          </cell>
          <cell r="N76">
            <v>10</v>
          </cell>
          <cell r="O76">
            <v>0.6</v>
          </cell>
          <cell r="P76">
            <v>0.6</v>
          </cell>
          <cell r="Q76">
            <v>0.6</v>
          </cell>
          <cell r="R76">
            <v>0.6</v>
          </cell>
          <cell r="T76">
            <v>2.6320921099199999</v>
          </cell>
          <cell r="U76">
            <v>1.0656243359999999E-4</v>
          </cell>
          <cell r="V76">
            <v>1.0656243359999999E-4</v>
          </cell>
          <cell r="W76">
            <v>3.5520811199999996E-4</v>
          </cell>
          <cell r="X76">
            <v>3.5520811199999996E-4</v>
          </cell>
          <cell r="Y76">
            <v>2.1312486719999996E-5</v>
          </cell>
          <cell r="Z76">
            <v>2.1312486719999996E-5</v>
          </cell>
          <cell r="AA76">
            <v>2.1312486719999996E-5</v>
          </cell>
          <cell r="AB76">
            <v>2.1312486719999996E-5</v>
          </cell>
        </row>
        <row r="77">
          <cell r="B77">
            <v>32</v>
          </cell>
          <cell r="C77" t="str">
            <v>Óleos Residuais</v>
          </cell>
          <cell r="D77" t="str">
            <v>Waste Oils</v>
          </cell>
          <cell r="E77" t="str">
            <v>Toneladas</v>
          </cell>
          <cell r="F77">
            <v>40.200000000000003</v>
          </cell>
          <cell r="G77">
            <v>1000</v>
          </cell>
          <cell r="H77" t="str">
            <v>IPCC 2006</v>
          </cell>
          <cell r="I77">
            <v>73300</v>
          </cell>
          <cell r="J77" t="str">
            <v>IPCC 2006</v>
          </cell>
          <cell r="K77">
            <v>30</v>
          </cell>
          <cell r="L77">
            <v>30</v>
          </cell>
          <cell r="M77">
            <v>300</v>
          </cell>
          <cell r="N77">
            <v>300</v>
          </cell>
          <cell r="O77">
            <v>4</v>
          </cell>
          <cell r="P77">
            <v>4</v>
          </cell>
          <cell r="Q77">
            <v>4</v>
          </cell>
          <cell r="R77">
            <v>4</v>
          </cell>
          <cell r="T77">
            <v>2946.66</v>
          </cell>
          <cell r="U77">
            <v>1.206</v>
          </cell>
          <cell r="V77">
            <v>1.206</v>
          </cell>
          <cell r="W77">
            <v>12.06</v>
          </cell>
          <cell r="X77">
            <v>12.06</v>
          </cell>
          <cell r="Y77">
            <v>0.1608</v>
          </cell>
          <cell r="Z77">
            <v>0.1608</v>
          </cell>
          <cell r="AA77">
            <v>0.1608</v>
          </cell>
          <cell r="AB77">
            <v>0.1608</v>
          </cell>
        </row>
        <row r="78">
          <cell r="B78">
            <v>33</v>
          </cell>
          <cell r="C78" t="str">
            <v>Outros Produtos de Petróleo</v>
          </cell>
          <cell r="D78" t="str">
            <v>Other Petroleum Products</v>
          </cell>
          <cell r="E78" t="str">
            <v>Toneladas</v>
          </cell>
          <cell r="F78">
            <v>42.705359999999999</v>
          </cell>
          <cell r="G78">
            <v>1000</v>
          </cell>
          <cell r="H78" t="str">
            <v>BEN 2012</v>
          </cell>
          <cell r="I78">
            <v>73300</v>
          </cell>
          <cell r="J78" t="str">
            <v>MCT 2010</v>
          </cell>
          <cell r="K78">
            <v>3</v>
          </cell>
          <cell r="L78">
            <v>3</v>
          </cell>
          <cell r="M78">
            <v>10</v>
          </cell>
          <cell r="N78">
            <v>10</v>
          </cell>
          <cell r="O78">
            <v>0.6</v>
          </cell>
          <cell r="P78">
            <v>0.6</v>
          </cell>
          <cell r="Q78">
            <v>0.6</v>
          </cell>
          <cell r="R78">
            <v>0.6</v>
          </cell>
          <cell r="T78">
            <v>3130.3028880000002</v>
          </cell>
          <cell r="U78">
            <v>0.12811608000000002</v>
          </cell>
          <cell r="V78">
            <v>0.12811608000000002</v>
          </cell>
          <cell r="W78">
            <v>0.42705359999999998</v>
          </cell>
          <cell r="X78">
            <v>0.42705359999999998</v>
          </cell>
          <cell r="Y78">
            <v>2.5623216000000001E-2</v>
          </cell>
          <cell r="Z78">
            <v>2.5623216000000001E-2</v>
          </cell>
          <cell r="AA78">
            <v>2.5623216000000001E-2</v>
          </cell>
          <cell r="AB78">
            <v>2.5623216000000001E-2</v>
          </cell>
        </row>
        <row r="79">
          <cell r="B79">
            <v>34</v>
          </cell>
          <cell r="C79" t="str">
            <v>Parafina</v>
          </cell>
          <cell r="D79" t="str">
            <v>Paraffin Waxes</v>
          </cell>
          <cell r="E79" t="str">
            <v>Toneladas</v>
          </cell>
          <cell r="F79">
            <v>40.200000000000003</v>
          </cell>
          <cell r="G79">
            <v>1000</v>
          </cell>
          <cell r="H79" t="str">
            <v>IPCC 2006</v>
          </cell>
          <cell r="I79">
            <v>73300</v>
          </cell>
          <cell r="J79" t="str">
            <v>IPCC 2006</v>
          </cell>
          <cell r="K79">
            <v>3</v>
          </cell>
          <cell r="L79">
            <v>3</v>
          </cell>
          <cell r="M79">
            <v>10</v>
          </cell>
          <cell r="N79">
            <v>10</v>
          </cell>
          <cell r="O79">
            <v>0.6</v>
          </cell>
          <cell r="P79">
            <v>0.6</v>
          </cell>
          <cell r="Q79">
            <v>0.6</v>
          </cell>
          <cell r="R79">
            <v>0.6</v>
          </cell>
          <cell r="T79">
            <v>2946.66</v>
          </cell>
          <cell r="U79">
            <v>0.12060000000000001</v>
          </cell>
          <cell r="V79">
            <v>0.12060000000000001</v>
          </cell>
          <cell r="W79">
            <v>0.40200000000000002</v>
          </cell>
          <cell r="X79">
            <v>0.40200000000000002</v>
          </cell>
          <cell r="Y79">
            <v>2.4119999999999999E-2</v>
          </cell>
          <cell r="Z79">
            <v>2.4119999999999999E-2</v>
          </cell>
          <cell r="AA79">
            <v>2.4119999999999999E-2</v>
          </cell>
          <cell r="AB79">
            <v>2.4119999999999999E-2</v>
          </cell>
        </row>
        <row r="80">
          <cell r="B80">
            <v>35</v>
          </cell>
          <cell r="C80" t="str">
            <v>Petróleo Bruto</v>
          </cell>
          <cell r="D80" t="str">
            <v>Crude Oil</v>
          </cell>
          <cell r="E80" t="str">
            <v>m³</v>
          </cell>
          <cell r="F80">
            <v>42.663491999999998</v>
          </cell>
          <cell r="G80">
            <v>884</v>
          </cell>
          <cell r="H80" t="str">
            <v>BEN 2012</v>
          </cell>
          <cell r="I80">
            <v>73300</v>
          </cell>
          <cell r="J80" t="str">
            <v>IPCC 2006</v>
          </cell>
          <cell r="K80">
            <v>3</v>
          </cell>
          <cell r="L80">
            <v>3</v>
          </cell>
          <cell r="M80">
            <v>10</v>
          </cell>
          <cell r="N80">
            <v>10</v>
          </cell>
          <cell r="O80">
            <v>0.6</v>
          </cell>
          <cell r="P80">
            <v>0.6</v>
          </cell>
          <cell r="Q80">
            <v>0.6</v>
          </cell>
          <cell r="R80">
            <v>0.6</v>
          </cell>
          <cell r="T80">
            <v>2764.4748238224001</v>
          </cell>
          <cell r="U80">
            <v>0.11314358078400001</v>
          </cell>
          <cell r="V80">
            <v>0.11314358078400001</v>
          </cell>
          <cell r="W80">
            <v>0.37714526927999997</v>
          </cell>
          <cell r="X80">
            <v>0.37714526927999997</v>
          </cell>
          <cell r="Y80">
            <v>2.26287161568E-2</v>
          </cell>
          <cell r="Z80">
            <v>2.26287161568E-2</v>
          </cell>
          <cell r="AA80">
            <v>2.26287161568E-2</v>
          </cell>
          <cell r="AB80">
            <v>2.26287161568E-2</v>
          </cell>
        </row>
        <row r="81">
          <cell r="B81">
            <v>36</v>
          </cell>
          <cell r="C81" t="str">
            <v>Querosene de Aviação</v>
          </cell>
          <cell r="D81" t="str">
            <v>Jet Kerosene</v>
          </cell>
          <cell r="E81" t="str">
            <v>Toneladas</v>
          </cell>
          <cell r="F81">
            <v>43.542720000000003</v>
          </cell>
          <cell r="G81">
            <v>1000</v>
          </cell>
          <cell r="H81" t="str">
            <v>BEN 2012</v>
          </cell>
          <cell r="I81">
            <v>71500</v>
          </cell>
          <cell r="J81" t="str">
            <v>MCT 2010</v>
          </cell>
          <cell r="K81">
            <v>3</v>
          </cell>
          <cell r="L81">
            <v>3</v>
          </cell>
          <cell r="M81">
            <v>10</v>
          </cell>
          <cell r="N81">
            <v>10</v>
          </cell>
          <cell r="O81">
            <v>0.6</v>
          </cell>
          <cell r="P81">
            <v>0.6</v>
          </cell>
          <cell r="Q81">
            <v>0.6</v>
          </cell>
          <cell r="R81">
            <v>0.6</v>
          </cell>
          <cell r="T81">
            <v>3113.3044799999998</v>
          </cell>
          <cell r="U81">
            <v>0.13062815999999999</v>
          </cell>
          <cell r="V81">
            <v>0.13062815999999999</v>
          </cell>
          <cell r="W81">
            <v>0.43542720000000001</v>
          </cell>
          <cell r="X81">
            <v>0.43542720000000001</v>
          </cell>
          <cell r="Y81">
            <v>2.6125631999999999E-2</v>
          </cell>
          <cell r="Z81">
            <v>2.6125631999999999E-2</v>
          </cell>
          <cell r="AA81">
            <v>2.6125631999999999E-2</v>
          </cell>
          <cell r="AB81">
            <v>2.6125631999999999E-2</v>
          </cell>
        </row>
        <row r="82">
          <cell r="B82">
            <v>37</v>
          </cell>
          <cell r="C82" t="str">
            <v>Querosene Iluminante</v>
          </cell>
          <cell r="D82" t="str">
            <v>Other Kerosene</v>
          </cell>
          <cell r="E82" t="str">
            <v>Toneladas</v>
          </cell>
          <cell r="F82">
            <v>43.542720000000003</v>
          </cell>
          <cell r="G82">
            <v>1000</v>
          </cell>
          <cell r="H82" t="str">
            <v>BEN 2012</v>
          </cell>
          <cell r="I82">
            <v>71900</v>
          </cell>
          <cell r="J82" t="str">
            <v>MCT 2010</v>
          </cell>
          <cell r="K82">
            <v>3</v>
          </cell>
          <cell r="L82">
            <v>3</v>
          </cell>
          <cell r="M82">
            <v>10</v>
          </cell>
          <cell r="N82">
            <v>10</v>
          </cell>
          <cell r="O82">
            <v>0.6</v>
          </cell>
          <cell r="P82">
            <v>0.6</v>
          </cell>
          <cell r="Q82">
            <v>0.6</v>
          </cell>
          <cell r="R82">
            <v>0.6</v>
          </cell>
          <cell r="T82">
            <v>3130.7215679999999</v>
          </cell>
          <cell r="U82">
            <v>0.13062815999999999</v>
          </cell>
          <cell r="V82">
            <v>0.13062815999999999</v>
          </cell>
          <cell r="W82">
            <v>0.43542720000000001</v>
          </cell>
          <cell r="X82">
            <v>0.43542720000000001</v>
          </cell>
          <cell r="Y82">
            <v>2.6125631999999999E-2</v>
          </cell>
          <cell r="Z82">
            <v>2.6125631999999999E-2</v>
          </cell>
          <cell r="AA82">
            <v>2.6125631999999999E-2</v>
          </cell>
          <cell r="AB82">
            <v>2.6125631999999999E-2</v>
          </cell>
        </row>
        <row r="83">
          <cell r="B83">
            <v>38</v>
          </cell>
          <cell r="C83" t="str">
            <v>Resíduos Industriais</v>
          </cell>
          <cell r="D83" t="str">
            <v>Industrial Wastes</v>
          </cell>
          <cell r="E83" t="str">
            <v>TJ</v>
          </cell>
          <cell r="F83" t="str">
            <v>N/A</v>
          </cell>
          <cell r="G83" t="str">
            <v>N/A</v>
          </cell>
          <cell r="H83" t="str">
            <v>IPCC 2006</v>
          </cell>
          <cell r="I83">
            <v>143000</v>
          </cell>
          <cell r="J83" t="str">
            <v>IPCC 2006</v>
          </cell>
          <cell r="K83">
            <v>30</v>
          </cell>
          <cell r="L83">
            <v>30</v>
          </cell>
          <cell r="M83">
            <v>300</v>
          </cell>
          <cell r="N83">
            <v>300</v>
          </cell>
          <cell r="O83">
            <v>4</v>
          </cell>
          <cell r="P83">
            <v>4</v>
          </cell>
          <cell r="Q83">
            <v>4</v>
          </cell>
          <cell r="R83">
            <v>4</v>
          </cell>
          <cell r="T83">
            <v>143000</v>
          </cell>
          <cell r="U83">
            <v>30</v>
          </cell>
          <cell r="V83">
            <v>30</v>
          </cell>
          <cell r="W83">
            <v>300</v>
          </cell>
          <cell r="X83">
            <v>300</v>
          </cell>
          <cell r="Y83">
            <v>4</v>
          </cell>
          <cell r="Z83">
            <v>4</v>
          </cell>
          <cell r="AA83">
            <v>4</v>
          </cell>
          <cell r="AB83">
            <v>4</v>
          </cell>
        </row>
        <row r="84">
          <cell r="B84">
            <v>39</v>
          </cell>
          <cell r="C84" t="str">
            <v>Resíduos Municipais (fração não-biomassa)</v>
          </cell>
          <cell r="D84" t="str">
            <v>Municipal Wastes (non-biomass fraction)</v>
          </cell>
          <cell r="E84" t="str">
            <v>Toneladas</v>
          </cell>
          <cell r="F84">
            <v>10</v>
          </cell>
          <cell r="G84">
            <v>1000</v>
          </cell>
          <cell r="H84" t="str">
            <v>IPCC 2006</v>
          </cell>
          <cell r="I84">
            <v>91700</v>
          </cell>
          <cell r="J84" t="str">
            <v>IPCC 2006</v>
          </cell>
          <cell r="K84">
            <v>30</v>
          </cell>
          <cell r="L84">
            <v>30</v>
          </cell>
          <cell r="M84">
            <v>300</v>
          </cell>
          <cell r="N84">
            <v>300</v>
          </cell>
          <cell r="O84">
            <v>4</v>
          </cell>
          <cell r="P84">
            <v>4</v>
          </cell>
          <cell r="Q84">
            <v>4</v>
          </cell>
          <cell r="R84">
            <v>4</v>
          </cell>
          <cell r="T84">
            <v>917</v>
          </cell>
          <cell r="U84">
            <v>0.3</v>
          </cell>
          <cell r="V84">
            <v>0.3</v>
          </cell>
          <cell r="W84">
            <v>3</v>
          </cell>
          <cell r="X84">
            <v>3</v>
          </cell>
          <cell r="Y84">
            <v>0.04</v>
          </cell>
          <cell r="Z84">
            <v>0.04</v>
          </cell>
          <cell r="AA84">
            <v>0.04</v>
          </cell>
          <cell r="AB84">
            <v>0.04</v>
          </cell>
        </row>
        <row r="85">
          <cell r="B85">
            <v>40</v>
          </cell>
          <cell r="C85" t="str">
            <v>Solventes</v>
          </cell>
          <cell r="D85" t="str">
            <v>Other Petroleum Products</v>
          </cell>
          <cell r="E85" t="str">
            <v>Litros</v>
          </cell>
          <cell r="F85">
            <v>44.170739999999995</v>
          </cell>
          <cell r="G85">
            <v>0.74099999999999999</v>
          </cell>
          <cell r="H85" t="str">
            <v>BEN 2012</v>
          </cell>
          <cell r="I85">
            <v>73300</v>
          </cell>
          <cell r="J85" t="str">
            <v>MCT 2010</v>
          </cell>
          <cell r="K85">
            <v>3</v>
          </cell>
          <cell r="L85">
            <v>3</v>
          </cell>
          <cell r="M85">
            <v>10</v>
          </cell>
          <cell r="N85">
            <v>10</v>
          </cell>
          <cell r="O85">
            <v>0.6</v>
          </cell>
          <cell r="P85">
            <v>0.6</v>
          </cell>
          <cell r="Q85">
            <v>0.6</v>
          </cell>
          <cell r="R85">
            <v>0.6</v>
          </cell>
          <cell r="T85">
            <v>2.3991469943219994</v>
          </cell>
          <cell r="U85">
            <v>9.819155501999998E-5</v>
          </cell>
          <cell r="V85">
            <v>9.819155501999998E-5</v>
          </cell>
          <cell r="W85">
            <v>3.2730518339999995E-4</v>
          </cell>
          <cell r="X85">
            <v>3.2730518339999995E-4</v>
          </cell>
          <cell r="Y85">
            <v>1.9638311003999999E-5</v>
          </cell>
          <cell r="Z85">
            <v>1.9638311003999999E-5</v>
          </cell>
          <cell r="AA85">
            <v>1.9638311003999999E-5</v>
          </cell>
          <cell r="AB85">
            <v>1.9638311003999999E-5</v>
          </cell>
        </row>
        <row r="86">
          <cell r="B86">
            <v>41</v>
          </cell>
          <cell r="C86" t="str">
            <v>Turfa</v>
          </cell>
          <cell r="D86" t="str">
            <v>Peat</v>
          </cell>
          <cell r="E86" t="str">
            <v>Toneladas</v>
          </cell>
          <cell r="F86">
            <v>9.76</v>
          </cell>
          <cell r="G86">
            <v>1000</v>
          </cell>
          <cell r="H86" t="str">
            <v>IPCC 2006</v>
          </cell>
          <cell r="I86">
            <v>106000</v>
          </cell>
          <cell r="J86" t="str">
            <v>IPCC 2006</v>
          </cell>
          <cell r="K86">
            <v>1</v>
          </cell>
          <cell r="L86">
            <v>2</v>
          </cell>
          <cell r="M86">
            <v>10</v>
          </cell>
          <cell r="N86">
            <v>300</v>
          </cell>
          <cell r="O86">
            <v>1.5</v>
          </cell>
          <cell r="P86">
            <v>1.5</v>
          </cell>
          <cell r="Q86">
            <v>1.4</v>
          </cell>
          <cell r="R86">
            <v>1.4</v>
          </cell>
          <cell r="T86">
            <v>1034.56</v>
          </cell>
          <cell r="U86">
            <v>9.7599999999999996E-3</v>
          </cell>
          <cell r="V86">
            <v>1.9519999999999999E-2</v>
          </cell>
          <cell r="W86">
            <v>9.7600000000000006E-2</v>
          </cell>
          <cell r="X86">
            <v>2.9279999999999999</v>
          </cell>
          <cell r="Y86">
            <v>1.464E-2</v>
          </cell>
          <cell r="Z86">
            <v>1.464E-2</v>
          </cell>
          <cell r="AA86">
            <v>1.3664000000000001E-2</v>
          </cell>
          <cell r="AB86">
            <v>1.3664000000000001E-2</v>
          </cell>
        </row>
        <row r="87">
          <cell r="B87">
            <v>42</v>
          </cell>
          <cell r="C87" t="str">
            <v>Xisto Betuminoso e Areias Betuminosas</v>
          </cell>
          <cell r="D87" t="str">
            <v>Oil Shale and Tar Sands</v>
          </cell>
          <cell r="E87" t="str">
            <v>Toneladas</v>
          </cell>
          <cell r="F87">
            <v>8.9</v>
          </cell>
          <cell r="G87">
            <v>1000</v>
          </cell>
          <cell r="H87" t="str">
            <v>IPCC 2006</v>
          </cell>
          <cell r="I87">
            <v>107000</v>
          </cell>
          <cell r="J87" t="str">
            <v>IPCC 2006</v>
          </cell>
          <cell r="K87">
            <v>1</v>
          </cell>
          <cell r="L87">
            <v>10</v>
          </cell>
          <cell r="M87">
            <v>10</v>
          </cell>
          <cell r="N87">
            <v>300</v>
          </cell>
          <cell r="O87">
            <v>1.5</v>
          </cell>
          <cell r="P87">
            <v>1.5</v>
          </cell>
          <cell r="Q87">
            <v>1.5</v>
          </cell>
          <cell r="R87">
            <v>1.5</v>
          </cell>
          <cell r="T87">
            <v>952.3</v>
          </cell>
          <cell r="U87">
            <v>8.8999999999999999E-3</v>
          </cell>
          <cell r="V87">
            <v>8.8999999999999996E-2</v>
          </cell>
          <cell r="W87">
            <v>8.8999999999999996E-2</v>
          </cell>
          <cell r="X87">
            <v>2.67</v>
          </cell>
          <cell r="Y87">
            <v>1.3350000000000002E-2</v>
          </cell>
          <cell r="Z87">
            <v>1.3350000000000002E-2</v>
          </cell>
          <cell r="AA87">
            <v>1.3350000000000002E-2</v>
          </cell>
          <cell r="AB87">
            <v>1.3350000000000002E-2</v>
          </cell>
        </row>
        <row r="88">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row>
        <row r="89">
          <cell r="B89">
            <v>0</v>
          </cell>
          <cell r="C89" t="str">
            <v>Tabela 2. Fatores de emissão por utilização de biomassa como combustível</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row>
        <row r="90">
          <cell r="B90" t="str">
            <v>Nº ref.</v>
          </cell>
          <cell r="C90" t="str">
            <v>Combustível</v>
          </cell>
          <cell r="D90" t="str">
            <v>Combustível mais próximo utilizado pelo IPCC</v>
          </cell>
          <cell r="E90" t="str">
            <v>Unidades</v>
          </cell>
          <cell r="F90" t="str">
            <v xml:space="preserve">Poder calorífico inferior </v>
          </cell>
          <cell r="G90" t="str">
            <v xml:space="preserve">Densidade </v>
          </cell>
          <cell r="H90" t="str">
            <v>Fonte</v>
          </cell>
          <cell r="I90" t="str">
            <v>Fatores de Emissão</v>
          </cell>
          <cell r="J90">
            <v>0</v>
          </cell>
          <cell r="K90" t="str">
            <v>Fatores de Emissão (unidades originais) - IPCC 2006</v>
          </cell>
          <cell r="L90">
            <v>0</v>
          </cell>
          <cell r="M90">
            <v>0</v>
          </cell>
          <cell r="N90">
            <v>0</v>
          </cell>
          <cell r="O90">
            <v>0</v>
          </cell>
          <cell r="P90">
            <v>0</v>
          </cell>
          <cell r="Q90">
            <v>0</v>
          </cell>
          <cell r="R90">
            <v>0</v>
          </cell>
          <cell r="T90" t="str">
            <v>Fatores de Emissão (unidades convertidas)</v>
          </cell>
          <cell r="U90">
            <v>0</v>
          </cell>
          <cell r="V90">
            <v>0</v>
          </cell>
          <cell r="W90">
            <v>0</v>
          </cell>
          <cell r="X90">
            <v>0</v>
          </cell>
          <cell r="Y90">
            <v>0</v>
          </cell>
          <cell r="Z90">
            <v>0</v>
          </cell>
          <cell r="AA90">
            <v>0</v>
          </cell>
          <cell r="AB90">
            <v>0</v>
          </cell>
        </row>
        <row r="91">
          <cell r="B91">
            <v>0</v>
          </cell>
          <cell r="C91">
            <v>0</v>
          </cell>
          <cell r="D91">
            <v>0</v>
          </cell>
          <cell r="E91">
            <v>0</v>
          </cell>
          <cell r="F91">
            <v>0</v>
          </cell>
          <cell r="G91">
            <v>0</v>
          </cell>
          <cell r="H91">
            <v>0</v>
          </cell>
          <cell r="I91" t="str">
            <v>CO2 (kg/TJ)</v>
          </cell>
          <cell r="J91" t="str">
            <v>Fonte</v>
          </cell>
          <cell r="K91" t="str">
            <v>CH4 (kg/TJ) por setor de atividade</v>
          </cell>
          <cell r="L91">
            <v>0</v>
          </cell>
          <cell r="M91">
            <v>0</v>
          </cell>
          <cell r="N91">
            <v>0</v>
          </cell>
          <cell r="O91" t="str">
            <v>N2O (kg/TJ) por setor de atividade</v>
          </cell>
          <cell r="P91">
            <v>0</v>
          </cell>
          <cell r="Q91">
            <v>0</v>
          </cell>
          <cell r="R91">
            <v>0</v>
          </cell>
          <cell r="T91" t="str">
            <v>CO2 (kg/un.)</v>
          </cell>
          <cell r="U91" t="str">
            <v>CH4 (kg/un.) por setor de atividade</v>
          </cell>
          <cell r="V91">
            <v>0</v>
          </cell>
          <cell r="W91">
            <v>0</v>
          </cell>
          <cell r="X91">
            <v>0</v>
          </cell>
          <cell r="Y91" t="str">
            <v>N2O (kg/un.) por setor de atividade</v>
          </cell>
          <cell r="Z91">
            <v>0</v>
          </cell>
          <cell r="AA91">
            <v>0</v>
          </cell>
          <cell r="AB91">
            <v>0</v>
          </cell>
        </row>
        <row r="92">
          <cell r="B92">
            <v>0</v>
          </cell>
          <cell r="C92">
            <v>0</v>
          </cell>
          <cell r="D92">
            <v>0</v>
          </cell>
          <cell r="E92">
            <v>0</v>
          </cell>
          <cell r="F92" t="str">
            <v>(GJ/t)</v>
          </cell>
          <cell r="G92" t="str">
            <v>(kg/unidade)</v>
          </cell>
          <cell r="H92">
            <v>0</v>
          </cell>
          <cell r="I92">
            <v>0</v>
          </cell>
          <cell r="J92">
            <v>0</v>
          </cell>
          <cell r="K92" t="str">
            <v>Energia</v>
          </cell>
          <cell r="L92" t="str">
            <v>Manufatura ou Construção</v>
          </cell>
          <cell r="M92" t="str">
            <v>Comercial ou Institucional</v>
          </cell>
          <cell r="N92" t="str">
            <v>Residencial, Agricultura, Florestal ou Pesca</v>
          </cell>
          <cell r="O92" t="str">
            <v>Energia</v>
          </cell>
          <cell r="P92" t="str">
            <v>Manufatura ou Construção</v>
          </cell>
          <cell r="Q92" t="str">
            <v>Comercial ou Institucional</v>
          </cell>
          <cell r="R92" t="str">
            <v>Residencial, Agricultura, Florestal ou Pesca</v>
          </cell>
          <cell r="T92">
            <v>0</v>
          </cell>
          <cell r="U92" t="str">
            <v>Energia</v>
          </cell>
          <cell r="V92" t="str">
            <v>Manufatura ou Construção</v>
          </cell>
          <cell r="W92" t="str">
            <v>Comercial ou Institucional</v>
          </cell>
          <cell r="X92" t="str">
            <v>Residencial, Agricultura, Florestal ou Pesca</v>
          </cell>
          <cell r="Y92" t="str">
            <v>Energia</v>
          </cell>
          <cell r="Z92" t="str">
            <v>Manufatura ou Construção</v>
          </cell>
          <cell r="AA92" t="str">
            <v>Comercial ou Institucional</v>
          </cell>
          <cell r="AB92" t="str">
            <v>Residencial, Agricultura, Florestal ou Pesca</v>
          </cell>
        </row>
        <row r="93">
          <cell r="B93">
            <v>48</v>
          </cell>
          <cell r="C93" t="str">
            <v>Etanol Anidro</v>
          </cell>
          <cell r="D93" t="str">
            <v>Other Liquid Biofuels</v>
          </cell>
          <cell r="E93" t="str">
            <v>Litros</v>
          </cell>
          <cell r="F93">
            <v>28.260899999999999</v>
          </cell>
          <cell r="G93">
            <v>0.79100000000000004</v>
          </cell>
          <cell r="H93" t="str">
            <v>BEN 2012</v>
          </cell>
          <cell r="I93">
            <v>68933.333333333343</v>
          </cell>
          <cell r="J93" t="str">
            <v>MCT 2010</v>
          </cell>
          <cell r="K93">
            <v>3</v>
          </cell>
          <cell r="L93">
            <v>3</v>
          </cell>
          <cell r="M93">
            <v>10</v>
          </cell>
          <cell r="N93">
            <v>10</v>
          </cell>
          <cell r="O93">
            <v>0.6</v>
          </cell>
          <cell r="P93">
            <v>0.6</v>
          </cell>
          <cell r="Q93">
            <v>0.6</v>
          </cell>
          <cell r="R93">
            <v>0.6</v>
          </cell>
          <cell r="T93">
            <v>1.5409613696400004</v>
          </cell>
          <cell r="U93">
            <v>6.7063115700000014E-5</v>
          </cell>
          <cell r="V93">
            <v>6.7063115700000014E-5</v>
          </cell>
          <cell r="W93">
            <v>2.2354371899999998E-4</v>
          </cell>
          <cell r="X93">
            <v>2.2354371899999998E-4</v>
          </cell>
          <cell r="Y93">
            <v>1.3412623140000001E-5</v>
          </cell>
          <cell r="Z93">
            <v>1.3412623140000001E-5</v>
          </cell>
          <cell r="AA93">
            <v>1.3412623140000001E-5</v>
          </cell>
          <cell r="AB93">
            <v>1.3412623140000001E-5</v>
          </cell>
        </row>
        <row r="94">
          <cell r="B94">
            <v>49</v>
          </cell>
          <cell r="C94" t="str">
            <v>Etanol Hidratado</v>
          </cell>
          <cell r="D94" t="str">
            <v>Other Liquid Biofuels</v>
          </cell>
          <cell r="E94" t="str">
            <v>Litros</v>
          </cell>
          <cell r="F94">
            <v>26.376840000000001</v>
          </cell>
          <cell r="G94">
            <v>0.80900000000000005</v>
          </cell>
          <cell r="H94" t="str">
            <v>BEN 2012</v>
          </cell>
          <cell r="I94">
            <v>68933.333333333343</v>
          </cell>
          <cell r="J94" t="str">
            <v>MCT 2010</v>
          </cell>
          <cell r="K94">
            <v>3</v>
          </cell>
          <cell r="L94">
            <v>3</v>
          </cell>
          <cell r="M94">
            <v>10</v>
          </cell>
          <cell r="N94">
            <v>10</v>
          </cell>
          <cell r="O94">
            <v>0.6</v>
          </cell>
          <cell r="P94">
            <v>0.6</v>
          </cell>
          <cell r="Q94">
            <v>0.6</v>
          </cell>
          <cell r="R94">
            <v>0.6</v>
          </cell>
          <cell r="T94">
            <v>1.4709589947360004</v>
          </cell>
          <cell r="U94">
            <v>6.4016590680000007E-5</v>
          </cell>
          <cell r="V94">
            <v>6.4016590680000007E-5</v>
          </cell>
          <cell r="W94">
            <v>2.1338863560000005E-4</v>
          </cell>
          <cell r="X94">
            <v>2.1338863560000005E-4</v>
          </cell>
          <cell r="Y94">
            <v>1.2803318136000002E-5</v>
          </cell>
          <cell r="Z94">
            <v>1.2803318136000002E-5</v>
          </cell>
          <cell r="AA94">
            <v>1.2803318136000002E-5</v>
          </cell>
          <cell r="AB94">
            <v>1.2803318136000002E-5</v>
          </cell>
        </row>
        <row r="95">
          <cell r="B95">
            <v>50</v>
          </cell>
          <cell r="C95" t="str">
            <v>Bagaço de Cana</v>
          </cell>
          <cell r="D95" t="str">
            <v>Other Primary Solid Biomass</v>
          </cell>
          <cell r="E95" t="str">
            <v>Toneladas</v>
          </cell>
          <cell r="F95">
            <v>8.9178840000000008</v>
          </cell>
          <cell r="G95">
            <v>1000</v>
          </cell>
          <cell r="H95" t="str">
            <v>BEN 2012</v>
          </cell>
          <cell r="I95">
            <v>97166.666666666672</v>
          </cell>
          <cell r="J95" t="str">
            <v>MCT 2010</v>
          </cell>
          <cell r="K95">
            <v>30</v>
          </cell>
          <cell r="L95">
            <v>30</v>
          </cell>
          <cell r="M95">
            <v>300</v>
          </cell>
          <cell r="N95">
            <v>300</v>
          </cell>
          <cell r="O95">
            <v>4</v>
          </cell>
          <cell r="P95">
            <v>4</v>
          </cell>
          <cell r="Q95">
            <v>4</v>
          </cell>
          <cell r="R95">
            <v>4</v>
          </cell>
          <cell r="T95">
            <v>866.52106200000014</v>
          </cell>
          <cell r="U95">
            <v>0.26753652</v>
          </cell>
          <cell r="V95">
            <v>0.26753652</v>
          </cell>
          <cell r="W95">
            <v>2.6753652000000003</v>
          </cell>
          <cell r="X95">
            <v>2.6753652000000003</v>
          </cell>
          <cell r="Y95">
            <v>3.5671535999999997E-2</v>
          </cell>
          <cell r="Z95">
            <v>3.5671535999999997E-2</v>
          </cell>
          <cell r="AA95">
            <v>3.5671535999999997E-2</v>
          </cell>
          <cell r="AB95">
            <v>3.5671535999999997E-2</v>
          </cell>
        </row>
        <row r="96">
          <cell r="B96">
            <v>51</v>
          </cell>
          <cell r="C96" t="str">
            <v>Biodiesel (B100)</v>
          </cell>
          <cell r="D96" t="str">
            <v>Biodiesels</v>
          </cell>
          <cell r="E96" t="str">
            <v>Litros</v>
          </cell>
          <cell r="F96">
            <v>37.681199999999997</v>
          </cell>
          <cell r="G96">
            <v>0.88</v>
          </cell>
          <cell r="H96" t="str">
            <v>BEN 2012</v>
          </cell>
          <cell r="I96">
            <v>70800</v>
          </cell>
          <cell r="J96" t="str">
            <v>IPCC 2006</v>
          </cell>
          <cell r="K96">
            <v>3</v>
          </cell>
          <cell r="L96">
            <v>3</v>
          </cell>
          <cell r="M96">
            <v>10</v>
          </cell>
          <cell r="N96">
            <v>10</v>
          </cell>
          <cell r="O96">
            <v>0.6</v>
          </cell>
          <cell r="P96">
            <v>0.6</v>
          </cell>
          <cell r="Q96">
            <v>0.6</v>
          </cell>
          <cell r="R96">
            <v>0.6</v>
          </cell>
          <cell r="T96">
            <v>2.3476894848000001</v>
          </cell>
          <cell r="U96">
            <v>9.9478368000000005E-5</v>
          </cell>
          <cell r="V96">
            <v>9.9478368000000005E-5</v>
          </cell>
          <cell r="W96">
            <v>3.3159455999999993E-4</v>
          </cell>
          <cell r="X96">
            <v>3.3159455999999993E-4</v>
          </cell>
          <cell r="Y96">
            <v>1.9895673599999999E-5</v>
          </cell>
          <cell r="Z96">
            <v>1.9895673599999999E-5</v>
          </cell>
          <cell r="AA96">
            <v>1.9895673599999999E-5</v>
          </cell>
          <cell r="AB96">
            <v>1.9895673599999999E-5</v>
          </cell>
        </row>
        <row r="97">
          <cell r="B97">
            <v>52</v>
          </cell>
          <cell r="C97" t="str">
            <v>Biogás</v>
          </cell>
          <cell r="D97" t="str">
            <v>Other Biogas</v>
          </cell>
          <cell r="E97" t="str">
            <v>Toneladas</v>
          </cell>
          <cell r="F97">
            <v>50.4</v>
          </cell>
          <cell r="G97">
            <v>1000</v>
          </cell>
          <cell r="H97" t="str">
            <v>IPCC 2006</v>
          </cell>
          <cell r="I97">
            <v>54600</v>
          </cell>
          <cell r="J97" t="str">
            <v>IPCC 2006</v>
          </cell>
          <cell r="K97">
            <v>1</v>
          </cell>
          <cell r="L97">
            <v>1</v>
          </cell>
          <cell r="M97">
            <v>5</v>
          </cell>
          <cell r="N97">
            <v>5</v>
          </cell>
          <cell r="O97">
            <v>0.1</v>
          </cell>
          <cell r="P97">
            <v>0.1</v>
          </cell>
          <cell r="Q97">
            <v>0.1</v>
          </cell>
          <cell r="R97">
            <v>0.1</v>
          </cell>
          <cell r="T97">
            <v>2751.84</v>
          </cell>
          <cell r="U97">
            <v>5.04E-2</v>
          </cell>
          <cell r="V97">
            <v>5.04E-2</v>
          </cell>
          <cell r="W97">
            <v>0.252</v>
          </cell>
          <cell r="X97">
            <v>0.252</v>
          </cell>
          <cell r="Y97">
            <v>5.0400000000000002E-3</v>
          </cell>
          <cell r="Z97">
            <v>5.0400000000000002E-3</v>
          </cell>
          <cell r="AA97">
            <v>5.0400000000000002E-3</v>
          </cell>
          <cell r="AB97">
            <v>5.0400000000000002E-3</v>
          </cell>
        </row>
        <row r="98">
          <cell r="B98">
            <v>53</v>
          </cell>
          <cell r="C98" t="str">
            <v>Caldo de Cana</v>
          </cell>
          <cell r="D98" t="str">
            <v>Other Liquid Biofuels</v>
          </cell>
          <cell r="E98" t="str">
            <v>Toneladas</v>
          </cell>
          <cell r="F98">
            <v>2.5958159999999997</v>
          </cell>
          <cell r="G98">
            <v>1000</v>
          </cell>
          <cell r="H98" t="str">
            <v>BEN 2012</v>
          </cell>
          <cell r="I98">
            <v>73333.333333333328</v>
          </cell>
          <cell r="J98" t="str">
            <v>MCT 2010</v>
          </cell>
          <cell r="K98">
            <v>3</v>
          </cell>
          <cell r="L98">
            <v>3</v>
          </cell>
          <cell r="M98">
            <v>10</v>
          </cell>
          <cell r="N98">
            <v>10</v>
          </cell>
          <cell r="O98">
            <v>0.6</v>
          </cell>
          <cell r="P98">
            <v>0.6</v>
          </cell>
          <cell r="Q98">
            <v>0.6</v>
          </cell>
          <cell r="R98">
            <v>0.6</v>
          </cell>
          <cell r="T98">
            <v>190.35983999999996</v>
          </cell>
          <cell r="U98">
            <v>7.7874479999999998E-3</v>
          </cell>
          <cell r="V98">
            <v>7.7874479999999998E-3</v>
          </cell>
          <cell r="W98">
            <v>2.5958159999999997E-2</v>
          </cell>
          <cell r="X98">
            <v>2.5958159999999997E-2</v>
          </cell>
          <cell r="Y98">
            <v>1.5574895999999998E-3</v>
          </cell>
          <cell r="Z98">
            <v>1.5574895999999998E-3</v>
          </cell>
          <cell r="AA98">
            <v>1.5574895999999998E-3</v>
          </cell>
          <cell r="AB98">
            <v>1.5574895999999998E-3</v>
          </cell>
        </row>
        <row r="99">
          <cell r="B99">
            <v>54</v>
          </cell>
          <cell r="C99" t="str">
            <v>Carvão Vegetal</v>
          </cell>
          <cell r="D99" t="str">
            <v>Charcoal</v>
          </cell>
          <cell r="E99" t="str">
            <v>Toneladas</v>
          </cell>
          <cell r="F99">
            <v>28.260899999999999</v>
          </cell>
          <cell r="G99">
            <v>1000</v>
          </cell>
          <cell r="H99" t="str">
            <v>MCT 2010</v>
          </cell>
          <cell r="I99">
            <v>106700</v>
          </cell>
          <cell r="J99" t="str">
            <v>MCT 2010</v>
          </cell>
          <cell r="K99">
            <v>200</v>
          </cell>
          <cell r="L99">
            <v>200</v>
          </cell>
          <cell r="M99">
            <v>200</v>
          </cell>
          <cell r="N99">
            <v>200</v>
          </cell>
          <cell r="O99">
            <v>4</v>
          </cell>
          <cell r="P99">
            <v>4</v>
          </cell>
          <cell r="Q99">
            <v>1</v>
          </cell>
          <cell r="R99">
            <v>1</v>
          </cell>
          <cell r="T99">
            <v>3015.4380299999998</v>
          </cell>
          <cell r="U99">
            <v>5.6521800000000004</v>
          </cell>
          <cell r="V99">
            <v>5.6521800000000004</v>
          </cell>
          <cell r="W99">
            <v>5.6521800000000004</v>
          </cell>
          <cell r="X99">
            <v>5.6521800000000004</v>
          </cell>
          <cell r="Y99">
            <v>0.11304359999999999</v>
          </cell>
          <cell r="Z99">
            <v>0.11304359999999999</v>
          </cell>
          <cell r="AA99">
            <v>2.8260899999999999E-2</v>
          </cell>
          <cell r="AB99">
            <v>2.8260899999999999E-2</v>
          </cell>
        </row>
        <row r="100">
          <cell r="B100">
            <v>55</v>
          </cell>
          <cell r="C100" t="str">
            <v>Lenha para Carvoejamento</v>
          </cell>
          <cell r="D100" t="str">
            <v>Wood / Wood Waste</v>
          </cell>
          <cell r="E100" t="str">
            <v>Toneladas</v>
          </cell>
          <cell r="F100">
            <v>18.086976</v>
          </cell>
          <cell r="G100">
            <v>1000</v>
          </cell>
          <cell r="H100" t="str">
            <v>MCT 2010</v>
          </cell>
          <cell r="I100">
            <v>49316.666666666664</v>
          </cell>
          <cell r="J100" t="str">
            <v>MCT 2010</v>
          </cell>
          <cell r="K100">
            <v>30</v>
          </cell>
          <cell r="L100">
            <v>30</v>
          </cell>
          <cell r="M100">
            <v>300</v>
          </cell>
          <cell r="N100">
            <v>300</v>
          </cell>
          <cell r="O100">
            <v>4</v>
          </cell>
          <cell r="P100">
            <v>4</v>
          </cell>
          <cell r="Q100">
            <v>4</v>
          </cell>
          <cell r="R100">
            <v>4</v>
          </cell>
          <cell r="T100">
            <v>891.98936639999999</v>
          </cell>
          <cell r="U100">
            <v>0.54260928000000008</v>
          </cell>
          <cell r="V100">
            <v>0.54260928000000008</v>
          </cell>
          <cell r="W100">
            <v>5.426092800000001</v>
          </cell>
          <cell r="X100">
            <v>5.426092800000001</v>
          </cell>
          <cell r="Y100">
            <v>7.2347903999999991E-2</v>
          </cell>
          <cell r="Z100">
            <v>7.2347903999999991E-2</v>
          </cell>
          <cell r="AA100">
            <v>7.2347903999999991E-2</v>
          </cell>
          <cell r="AB100">
            <v>7.2347903999999991E-2</v>
          </cell>
        </row>
        <row r="101">
          <cell r="B101">
            <v>56</v>
          </cell>
          <cell r="C101" t="str">
            <v>Lenha para Queima Direta</v>
          </cell>
          <cell r="D101" t="str">
            <v>Wood / Wood Waste</v>
          </cell>
          <cell r="E101" t="str">
            <v>Toneladas</v>
          </cell>
          <cell r="F101">
            <v>18.086976</v>
          </cell>
          <cell r="G101">
            <v>1000</v>
          </cell>
          <cell r="H101" t="str">
            <v>MCT 2010</v>
          </cell>
          <cell r="I101">
            <v>105966.66666666666</v>
          </cell>
          <cell r="J101" t="str">
            <v>MCT 2010</v>
          </cell>
          <cell r="K101">
            <v>30</v>
          </cell>
          <cell r="L101">
            <v>30</v>
          </cell>
          <cell r="M101">
            <v>300</v>
          </cell>
          <cell r="N101">
            <v>300</v>
          </cell>
          <cell r="O101">
            <v>4</v>
          </cell>
          <cell r="P101">
            <v>4</v>
          </cell>
          <cell r="Q101">
            <v>4</v>
          </cell>
          <cell r="R101">
            <v>4</v>
          </cell>
          <cell r="T101">
            <v>1916.6165567999999</v>
          </cell>
          <cell r="U101">
            <v>0.54260928000000008</v>
          </cell>
          <cell r="V101">
            <v>0.54260928000000008</v>
          </cell>
          <cell r="W101">
            <v>5.426092800000001</v>
          </cell>
          <cell r="X101">
            <v>5.426092800000001</v>
          </cell>
          <cell r="Y101">
            <v>7.2347903999999991E-2</v>
          </cell>
          <cell r="Z101">
            <v>7.2347903999999991E-2</v>
          </cell>
          <cell r="AA101">
            <v>7.2347903999999991E-2</v>
          </cell>
          <cell r="AB101">
            <v>7.2347903999999991E-2</v>
          </cell>
        </row>
        <row r="102">
          <cell r="B102">
            <v>57</v>
          </cell>
          <cell r="C102" t="str">
            <v>Licor Negro (Lixívia)</v>
          </cell>
          <cell r="D102" t="str">
            <v>Sulphite lyes (Black Liquor)</v>
          </cell>
          <cell r="E102" t="str">
            <v>Toneladas</v>
          </cell>
          <cell r="F102">
            <v>11.974247999999999</v>
          </cell>
          <cell r="G102">
            <v>1000</v>
          </cell>
          <cell r="H102" t="str">
            <v>BEN 2012</v>
          </cell>
          <cell r="I102">
            <v>95300</v>
          </cell>
          <cell r="J102" t="str">
            <v>IPCC 2006</v>
          </cell>
          <cell r="K102">
            <v>3</v>
          </cell>
          <cell r="L102">
            <v>3</v>
          </cell>
          <cell r="M102">
            <v>3</v>
          </cell>
          <cell r="N102">
            <v>3</v>
          </cell>
          <cell r="O102">
            <v>2</v>
          </cell>
          <cell r="P102">
            <v>2</v>
          </cell>
          <cell r="Q102">
            <v>2</v>
          </cell>
          <cell r="R102">
            <v>2</v>
          </cell>
          <cell r="T102">
            <v>1141.1458344</v>
          </cell>
          <cell r="U102">
            <v>3.5922743999999993E-2</v>
          </cell>
          <cell r="V102">
            <v>3.5922743999999993E-2</v>
          </cell>
          <cell r="W102">
            <v>3.5922743999999993E-2</v>
          </cell>
          <cell r="X102">
            <v>3.5922743999999993E-2</v>
          </cell>
          <cell r="Y102">
            <v>2.3948496E-2</v>
          </cell>
          <cell r="Z102">
            <v>2.3948496E-2</v>
          </cell>
          <cell r="AA102">
            <v>2.3948496E-2</v>
          </cell>
          <cell r="AB102">
            <v>2.3948496E-2</v>
          </cell>
        </row>
        <row r="103">
          <cell r="B103">
            <v>58</v>
          </cell>
          <cell r="C103" t="str">
            <v>Melaço</v>
          </cell>
          <cell r="D103" t="str">
            <v>Other Liquid Biofuels</v>
          </cell>
          <cell r="E103" t="str">
            <v>Toneladas</v>
          </cell>
          <cell r="F103">
            <v>7.7455800000000004</v>
          </cell>
          <cell r="G103">
            <v>1000</v>
          </cell>
          <cell r="H103" t="str">
            <v>BEN 2012</v>
          </cell>
          <cell r="I103">
            <v>73333.333333333328</v>
          </cell>
          <cell r="J103" t="str">
            <v>MCT 2010</v>
          </cell>
          <cell r="K103">
            <v>3</v>
          </cell>
          <cell r="L103">
            <v>3</v>
          </cell>
          <cell r="M103">
            <v>10</v>
          </cell>
          <cell r="N103">
            <v>10</v>
          </cell>
          <cell r="O103">
            <v>0.6</v>
          </cell>
          <cell r="P103">
            <v>0.6</v>
          </cell>
          <cell r="Q103">
            <v>0.6</v>
          </cell>
          <cell r="R103">
            <v>0.6</v>
          </cell>
          <cell r="T103">
            <v>568.00919999999996</v>
          </cell>
          <cell r="U103">
            <v>2.3236740000000002E-2</v>
          </cell>
          <cell r="V103">
            <v>2.3236740000000002E-2</v>
          </cell>
          <cell r="W103">
            <v>7.7455800000000019E-2</v>
          </cell>
          <cell r="X103">
            <v>7.7455800000000019E-2</v>
          </cell>
          <cell r="Y103">
            <v>4.6473479999999999E-3</v>
          </cell>
          <cell r="Z103">
            <v>4.6473479999999999E-3</v>
          </cell>
          <cell r="AA103">
            <v>4.6473479999999999E-3</v>
          </cell>
          <cell r="AB103">
            <v>4.6473479999999999E-3</v>
          </cell>
        </row>
        <row r="104">
          <cell r="B104">
            <v>59</v>
          </cell>
          <cell r="C104" t="str">
            <v>Resíduos Municipais (fração biomassa)</v>
          </cell>
          <cell r="D104" t="str">
            <v>Municipal Wastes (biomass fraction)</v>
          </cell>
          <cell r="E104" t="str">
            <v>Toneladas</v>
          </cell>
          <cell r="F104">
            <v>11.6</v>
          </cell>
          <cell r="G104">
            <v>1000</v>
          </cell>
          <cell r="H104" t="str">
            <v>IPCC 2006</v>
          </cell>
          <cell r="I104">
            <v>100000</v>
          </cell>
          <cell r="J104" t="str">
            <v>IPCC 2006</v>
          </cell>
          <cell r="K104">
            <v>30</v>
          </cell>
          <cell r="L104">
            <v>30</v>
          </cell>
          <cell r="M104">
            <v>300</v>
          </cell>
          <cell r="N104">
            <v>300</v>
          </cell>
          <cell r="O104">
            <v>4</v>
          </cell>
          <cell r="P104">
            <v>4</v>
          </cell>
          <cell r="Q104">
            <v>4</v>
          </cell>
          <cell r="R104">
            <v>4</v>
          </cell>
          <cell r="T104">
            <v>1160</v>
          </cell>
          <cell r="U104">
            <v>0.34799999999999998</v>
          </cell>
          <cell r="V104">
            <v>0.34799999999999998</v>
          </cell>
          <cell r="W104">
            <v>3.48</v>
          </cell>
          <cell r="X104">
            <v>3.48</v>
          </cell>
          <cell r="Y104">
            <v>4.6399999999999997E-2</v>
          </cell>
          <cell r="Z104">
            <v>4.6399999999999997E-2</v>
          </cell>
          <cell r="AA104">
            <v>4.6399999999999997E-2</v>
          </cell>
          <cell r="AB104">
            <v>4.6399999999999997E-2</v>
          </cell>
        </row>
        <row r="105">
          <cell r="B105">
            <v>60</v>
          </cell>
          <cell r="C105" t="str">
            <v>Resíduos Vegetais</v>
          </cell>
          <cell r="D105" t="str">
            <v>Other Primary Solid Biomass</v>
          </cell>
          <cell r="E105" t="str">
            <v>Toneladas</v>
          </cell>
          <cell r="F105">
            <v>11.6</v>
          </cell>
          <cell r="G105">
            <v>1000</v>
          </cell>
          <cell r="H105" t="str">
            <v>MCT 2010</v>
          </cell>
          <cell r="I105">
            <v>100000</v>
          </cell>
          <cell r="J105" t="str">
            <v>MCT 2010</v>
          </cell>
          <cell r="K105">
            <v>30</v>
          </cell>
          <cell r="L105">
            <v>30</v>
          </cell>
          <cell r="M105">
            <v>300</v>
          </cell>
          <cell r="N105">
            <v>300</v>
          </cell>
          <cell r="O105">
            <v>4</v>
          </cell>
          <cell r="P105">
            <v>4</v>
          </cell>
          <cell r="Q105">
            <v>4</v>
          </cell>
          <cell r="R105">
            <v>4</v>
          </cell>
          <cell r="T105">
            <v>1160</v>
          </cell>
          <cell r="U105">
            <v>0.34799999999999998</v>
          </cell>
          <cell r="V105">
            <v>0.34799999999999998</v>
          </cell>
          <cell r="W105">
            <v>3.48</v>
          </cell>
          <cell r="X105">
            <v>3.48</v>
          </cell>
          <cell r="Y105">
            <v>4.6399999999999997E-2</v>
          </cell>
          <cell r="Z105">
            <v>4.6399999999999997E-2</v>
          </cell>
          <cell r="AA105">
            <v>4.6399999999999997E-2</v>
          </cell>
          <cell r="AB105">
            <v>4.6399999999999997E-2</v>
          </cell>
        </row>
        <row r="115">
          <cell r="C115" t="str">
            <v>Gasolina A (pura)</v>
          </cell>
          <cell r="D115" t="str">
            <v>Litros</v>
          </cell>
          <cell r="E115">
            <v>10400</v>
          </cell>
          <cell r="F115">
            <v>0.74</v>
          </cell>
          <cell r="G115" t="str">
            <v>BEN 2012</v>
          </cell>
          <cell r="H115">
            <v>2.2690000000000001</v>
          </cell>
          <cell r="I115">
            <v>8.0554032000000001E-4</v>
          </cell>
          <cell r="J115">
            <v>2.5777290240000002E-4</v>
          </cell>
        </row>
        <row r="116">
          <cell r="C116" t="str">
            <v>Óleo Diesel</v>
          </cell>
          <cell r="D116" t="str">
            <v>Litros</v>
          </cell>
          <cell r="E116">
            <v>10100</v>
          </cell>
          <cell r="F116">
            <v>0.84</v>
          </cell>
          <cell r="G116" t="str">
            <v>BEN 2012</v>
          </cell>
          <cell r="H116">
            <v>2.6709999999999998</v>
          </cell>
          <cell r="I116">
            <v>1.3853116368000001E-4</v>
          </cell>
          <cell r="J116">
            <v>1.3853116368000001E-4</v>
          </cell>
        </row>
        <row r="117">
          <cell r="C117" t="str">
            <v>Gás Natural Veicular (GNV)</v>
          </cell>
          <cell r="D117" t="str">
            <v>m³</v>
          </cell>
          <cell r="E117">
            <v>8800</v>
          </cell>
          <cell r="F117">
            <v>1</v>
          </cell>
          <cell r="G117" t="str">
            <v>BEN 2012</v>
          </cell>
          <cell r="H117">
            <v>1.9990000000000001</v>
          </cell>
          <cell r="I117">
            <v>3.3896332800000002E-3</v>
          </cell>
          <cell r="J117">
            <v>1.1053152E-4</v>
          </cell>
        </row>
        <row r="118">
          <cell r="C118" t="str">
            <v>Gás Liquefeito de Petróleo (GLP)</v>
          </cell>
          <cell r="D118" t="str">
            <v>kg</v>
          </cell>
          <cell r="E118">
            <v>11100</v>
          </cell>
          <cell r="F118">
            <v>1</v>
          </cell>
          <cell r="G118" t="str">
            <v>BEN 2012</v>
          </cell>
          <cell r="H118">
            <v>2.9324765880000001</v>
          </cell>
          <cell r="I118">
            <v>2.8813557599999999E-3</v>
          </cell>
          <cell r="J118">
            <v>9.294696E-6</v>
          </cell>
        </row>
        <row r="119">
          <cell r="C119" t="str">
            <v>Jet Fuel</v>
          </cell>
          <cell r="D119" t="str">
            <v>Litros</v>
          </cell>
          <cell r="E119">
            <v>10400</v>
          </cell>
          <cell r="F119">
            <v>0.79</v>
          </cell>
          <cell r="G119" t="str">
            <v>BEN 2012</v>
          </cell>
          <cell r="H119">
            <v>2.47327003872</v>
          </cell>
          <cell r="I119">
            <v>0</v>
          </cell>
          <cell r="J119">
            <v>0</v>
          </cell>
        </row>
        <row r="120">
          <cell r="C120" t="str">
            <v>Gasolina de Aviação</v>
          </cell>
          <cell r="D120" t="str">
            <v>Litros</v>
          </cell>
          <cell r="E120">
            <v>10600</v>
          </cell>
          <cell r="F120">
            <v>0.72</v>
          </cell>
          <cell r="G120" t="str">
            <v>BEN 2012</v>
          </cell>
          <cell r="H120">
            <v>2.2319999999999998</v>
          </cell>
          <cell r="I120">
            <v>1.5948E-5</v>
          </cell>
          <cell r="J120">
            <v>6.3792000000000002E-5</v>
          </cell>
        </row>
        <row r="121">
          <cell r="C121" t="str">
            <v>Lubrificantes</v>
          </cell>
          <cell r="D121" t="str">
            <v>Litros</v>
          </cell>
          <cell r="E121">
            <v>10120</v>
          </cell>
          <cell r="F121">
            <v>0.88</v>
          </cell>
          <cell r="G121" t="str">
            <v>BEN 2012</v>
          </cell>
          <cell r="H121">
            <v>2.7330613136639998</v>
          </cell>
          <cell r="I121">
            <v>0</v>
          </cell>
          <cell r="J121">
            <v>0</v>
          </cell>
        </row>
        <row r="122">
          <cell r="C122" t="str">
            <v>Óleo combustível residual (3s 5 e 6)</v>
          </cell>
          <cell r="D122" t="str">
            <v>Litros</v>
          </cell>
          <cell r="E122" t="str">
            <v>-</v>
          </cell>
          <cell r="F122" t="str">
            <v>-</v>
          </cell>
          <cell r="G122" t="str">
            <v>-</v>
          </cell>
          <cell r="H122">
            <v>3.11723022112009</v>
          </cell>
          <cell r="I122">
            <v>0</v>
          </cell>
          <cell r="J122">
            <v>0</v>
          </cell>
        </row>
        <row r="123">
          <cell r="C123" t="str">
            <v>Gás Natural Liquefeito</v>
          </cell>
          <cell r="D123" t="str">
            <v>m³</v>
          </cell>
          <cell r="E123">
            <v>8800</v>
          </cell>
          <cell r="F123" t="str">
            <v>-</v>
          </cell>
          <cell r="G123" t="str">
            <v>BEN 2012</v>
          </cell>
          <cell r="H123">
            <v>2.0669394240000001</v>
          </cell>
          <cell r="I123">
            <v>3.3896332800000002E-3</v>
          </cell>
          <cell r="J123">
            <v>1.1053152E-4</v>
          </cell>
        </row>
        <row r="124">
          <cell r="C124">
            <v>0</v>
          </cell>
          <cell r="D124">
            <v>0</v>
          </cell>
          <cell r="E124">
            <v>0</v>
          </cell>
          <cell r="F124">
            <v>0</v>
          </cell>
          <cell r="G124">
            <v>0</v>
          </cell>
          <cell r="H124">
            <v>0</v>
          </cell>
          <cell r="I124">
            <v>0</v>
          </cell>
          <cell r="J124">
            <v>0</v>
          </cell>
        </row>
        <row r="125">
          <cell r="C125" t="str">
            <v>Tabela 4. Fatores de emissão por utilização biocombustível em fontes móveis</v>
          </cell>
          <cell r="D125">
            <v>0</v>
          </cell>
          <cell r="E125">
            <v>0</v>
          </cell>
          <cell r="F125">
            <v>0</v>
          </cell>
          <cell r="G125">
            <v>0</v>
          </cell>
          <cell r="H125">
            <v>0</v>
          </cell>
          <cell r="I125">
            <v>0</v>
          </cell>
          <cell r="J125">
            <v>0</v>
          </cell>
        </row>
        <row r="126">
          <cell r="C126" t="str">
            <v>Combustível</v>
          </cell>
          <cell r="D126" t="str">
            <v>Unidade</v>
          </cell>
          <cell r="E126" t="str">
            <v>Poder Calorífico Inferior</v>
          </cell>
          <cell r="F126" t="str">
            <v>Densidade</v>
          </cell>
          <cell r="G126" t="str">
            <v>Fonte</v>
          </cell>
          <cell r="H126" t="str">
            <v>Fatores de Emissão</v>
          </cell>
          <cell r="I126">
            <v>0</v>
          </cell>
          <cell r="J126">
            <v>0</v>
          </cell>
        </row>
        <row r="127">
          <cell r="C127">
            <v>0</v>
          </cell>
          <cell r="D127">
            <v>0</v>
          </cell>
          <cell r="E127" t="str">
            <v>(kcal/kg)</v>
          </cell>
          <cell r="F127" t="str">
            <v>(kg/unidade)</v>
          </cell>
          <cell r="G127">
            <v>0</v>
          </cell>
          <cell r="H127" t="str">
            <v>CO2</v>
          </cell>
          <cell r="I127" t="str">
            <v>CH4</v>
          </cell>
          <cell r="J127" t="str">
            <v>N2O</v>
          </cell>
        </row>
        <row r="128">
          <cell r="C128" t="str">
            <v>Etanol Hidratado (E100)</v>
          </cell>
          <cell r="D128" t="str">
            <v>Litros</v>
          </cell>
          <cell r="E128">
            <v>6300</v>
          </cell>
          <cell r="F128">
            <v>0.80900000000000005</v>
          </cell>
          <cell r="G128" t="str">
            <v>BEN 2012</v>
          </cell>
          <cell r="H128">
            <v>1.1779999999999999</v>
          </cell>
          <cell r="I128">
            <v>3.8409954408000002E-4</v>
          </cell>
          <cell r="J128">
            <v>0</v>
          </cell>
        </row>
        <row r="129">
          <cell r="C129" t="str">
            <v>Biodiesel</v>
          </cell>
          <cell r="D129" t="str">
            <v>Litros</v>
          </cell>
          <cell r="E129" t="str">
            <v>-</v>
          </cell>
          <cell r="F129" t="str">
            <v>-</v>
          </cell>
          <cell r="G129" t="str">
            <v>-</v>
          </cell>
          <cell r="H129">
            <v>2.4990676179488198</v>
          </cell>
          <cell r="I129">
            <v>0</v>
          </cell>
          <cell r="J129">
            <v>0</v>
          </cell>
        </row>
        <row r="130">
          <cell r="C130" t="str">
            <v>Etanol Anidro</v>
          </cell>
          <cell r="D130" t="str">
            <v>Litros</v>
          </cell>
          <cell r="E130">
            <v>6750</v>
          </cell>
          <cell r="F130">
            <v>0.79100000000000004</v>
          </cell>
          <cell r="G130" t="str">
            <v>BEN 2012</v>
          </cell>
          <cell r="H130">
            <v>1.2330000000000001</v>
          </cell>
          <cell r="I130">
            <v>0</v>
          </cell>
          <cell r="J130">
            <v>0</v>
          </cell>
        </row>
        <row r="137">
          <cell r="I137">
            <v>1990</v>
          </cell>
          <cell r="J137">
            <v>1991</v>
          </cell>
          <cell r="K137">
            <v>1992</v>
          </cell>
          <cell r="L137">
            <v>1993</v>
          </cell>
          <cell r="M137">
            <v>1994</v>
          </cell>
          <cell r="N137">
            <v>1995</v>
          </cell>
          <cell r="O137">
            <v>1996</v>
          </cell>
          <cell r="P137">
            <v>1997</v>
          </cell>
          <cell r="Q137">
            <v>1998</v>
          </cell>
          <cell r="R137">
            <v>1999</v>
          </cell>
          <cell r="S137">
            <v>2000</v>
          </cell>
          <cell r="T137">
            <v>2001</v>
          </cell>
          <cell r="U137">
            <v>2002</v>
          </cell>
          <cell r="V137">
            <v>2003</v>
          </cell>
          <cell r="W137">
            <v>2004</v>
          </cell>
          <cell r="X137">
            <v>2005</v>
          </cell>
          <cell r="Y137">
            <v>2006</v>
          </cell>
          <cell r="Z137">
            <v>2007</v>
          </cell>
          <cell r="AA137">
            <v>2008</v>
          </cell>
          <cell r="AB137">
            <v>2009</v>
          </cell>
          <cell r="AC137">
            <v>2010</v>
          </cell>
          <cell r="AD137">
            <v>2011</v>
          </cell>
          <cell r="AE137">
            <v>2012</v>
          </cell>
          <cell r="AF137">
            <v>1990</v>
          </cell>
          <cell r="AG137">
            <v>1991</v>
          </cell>
          <cell r="AH137">
            <v>1992</v>
          </cell>
          <cell r="AI137">
            <v>1993</v>
          </cell>
          <cell r="AJ137">
            <v>1994</v>
          </cell>
          <cell r="AK137">
            <v>1995</v>
          </cell>
          <cell r="AL137">
            <v>1996</v>
          </cell>
          <cell r="AM137">
            <v>1997</v>
          </cell>
          <cell r="AN137">
            <v>1998</v>
          </cell>
          <cell r="AO137">
            <v>1999</v>
          </cell>
          <cell r="AP137">
            <v>2000</v>
          </cell>
          <cell r="AQ137">
            <v>2001</v>
          </cell>
          <cell r="AR137">
            <v>2002</v>
          </cell>
          <cell r="AS137">
            <v>2003</v>
          </cell>
          <cell r="AT137">
            <v>2004</v>
          </cell>
          <cell r="AU137">
            <v>2005</v>
          </cell>
          <cell r="AV137">
            <v>2006</v>
          </cell>
          <cell r="AW137">
            <v>2007</v>
          </cell>
          <cell r="AX137">
            <v>2008</v>
          </cell>
          <cell r="AY137">
            <v>2009</v>
          </cell>
          <cell r="AZ137">
            <v>2010</v>
          </cell>
          <cell r="BA137">
            <v>2011</v>
          </cell>
          <cell r="BB137">
            <v>2012</v>
          </cell>
          <cell r="BC137">
            <v>1990</v>
          </cell>
          <cell r="BD137">
            <v>1991</v>
          </cell>
          <cell r="BE137">
            <v>1992</v>
          </cell>
          <cell r="BF137">
            <v>1993</v>
          </cell>
          <cell r="BG137">
            <v>1994</v>
          </cell>
          <cell r="BH137">
            <v>1995</v>
          </cell>
          <cell r="BI137">
            <v>1996</v>
          </cell>
          <cell r="BJ137">
            <v>1997</v>
          </cell>
          <cell r="BK137">
            <v>1998</v>
          </cell>
          <cell r="BL137">
            <v>1999</v>
          </cell>
          <cell r="BM137">
            <v>2000</v>
          </cell>
          <cell r="BN137">
            <v>2001</v>
          </cell>
          <cell r="BO137">
            <v>2002</v>
          </cell>
          <cell r="BP137">
            <v>2003</v>
          </cell>
          <cell r="BQ137">
            <v>2004</v>
          </cell>
          <cell r="BR137">
            <v>2005</v>
          </cell>
          <cell r="BS137">
            <v>2006</v>
          </cell>
          <cell r="BT137">
            <v>2007</v>
          </cell>
          <cell r="BU137">
            <v>2008</v>
          </cell>
          <cell r="BV137">
            <v>2009</v>
          </cell>
          <cell r="BW137">
            <v>2010</v>
          </cell>
          <cell r="BX137">
            <v>2011</v>
          </cell>
          <cell r="BY137">
            <v>2012</v>
          </cell>
        </row>
        <row r="138">
          <cell r="I138">
            <v>2</v>
          </cell>
          <cell r="J138">
            <v>3</v>
          </cell>
          <cell r="K138">
            <v>4</v>
          </cell>
          <cell r="L138">
            <v>5</v>
          </cell>
          <cell r="M138">
            <v>6</v>
          </cell>
          <cell r="N138">
            <v>7</v>
          </cell>
          <cell r="O138">
            <v>8</v>
          </cell>
          <cell r="P138">
            <v>9</v>
          </cell>
          <cell r="Q138">
            <v>10</v>
          </cell>
          <cell r="R138">
            <v>11</v>
          </cell>
          <cell r="S138">
            <v>12</v>
          </cell>
          <cell r="T138">
            <v>13</v>
          </cell>
          <cell r="U138">
            <v>14</v>
          </cell>
          <cell r="V138">
            <v>15</v>
          </cell>
          <cell r="W138">
            <v>16</v>
          </cell>
          <cell r="X138">
            <v>17</v>
          </cell>
          <cell r="Y138">
            <v>18</v>
          </cell>
          <cell r="Z138">
            <v>19</v>
          </cell>
          <cell r="AA138">
            <v>20</v>
          </cell>
          <cell r="AB138">
            <v>21</v>
          </cell>
          <cell r="AC138">
            <v>22</v>
          </cell>
          <cell r="AD138">
            <v>23</v>
          </cell>
          <cell r="AE138">
            <v>24</v>
          </cell>
          <cell r="AF138">
            <v>25</v>
          </cell>
          <cell r="AG138">
            <v>26</v>
          </cell>
          <cell r="AH138">
            <v>27</v>
          </cell>
          <cell r="AI138">
            <v>28</v>
          </cell>
          <cell r="AJ138">
            <v>29</v>
          </cell>
          <cell r="AK138">
            <v>30</v>
          </cell>
          <cell r="AL138">
            <v>31</v>
          </cell>
          <cell r="AM138">
            <v>32</v>
          </cell>
          <cell r="AN138">
            <v>33</v>
          </cell>
          <cell r="AO138">
            <v>34</v>
          </cell>
          <cell r="AP138">
            <v>35</v>
          </cell>
          <cell r="AQ138">
            <v>36</v>
          </cell>
          <cell r="AR138">
            <v>37</v>
          </cell>
          <cell r="AS138">
            <v>38</v>
          </cell>
          <cell r="AT138">
            <v>39</v>
          </cell>
          <cell r="AU138">
            <v>40</v>
          </cell>
          <cell r="AV138">
            <v>41</v>
          </cell>
          <cell r="AW138">
            <v>42</v>
          </cell>
          <cell r="AX138">
            <v>43</v>
          </cell>
          <cell r="AY138">
            <v>44</v>
          </cell>
          <cell r="AZ138">
            <v>45</v>
          </cell>
          <cell r="BA138">
            <v>46</v>
          </cell>
          <cell r="BB138">
            <v>47</v>
          </cell>
          <cell r="BC138">
            <v>48</v>
          </cell>
          <cell r="BD138">
            <v>49</v>
          </cell>
          <cell r="BE138">
            <v>50</v>
          </cell>
          <cell r="BF138">
            <v>51</v>
          </cell>
          <cell r="BG138">
            <v>52</v>
          </cell>
          <cell r="BH138">
            <v>53</v>
          </cell>
          <cell r="BI138">
            <v>54</v>
          </cell>
          <cell r="BJ138">
            <v>55</v>
          </cell>
          <cell r="BK138">
            <v>56</v>
          </cell>
          <cell r="BL138">
            <v>57</v>
          </cell>
          <cell r="BM138">
            <v>58</v>
          </cell>
          <cell r="BN138">
            <v>59</v>
          </cell>
          <cell r="BO138">
            <v>60</v>
          </cell>
          <cell r="BP138">
            <v>61</v>
          </cell>
          <cell r="BQ138">
            <v>62</v>
          </cell>
          <cell r="BR138">
            <v>63</v>
          </cell>
          <cell r="BS138">
            <v>64</v>
          </cell>
          <cell r="BT138">
            <v>65</v>
          </cell>
          <cell r="BU138">
            <v>66</v>
          </cell>
          <cell r="BV138">
            <v>67</v>
          </cell>
          <cell r="BW138">
            <v>68</v>
          </cell>
          <cell r="BX138">
            <v>69</v>
          </cell>
          <cell r="BY138">
            <v>70</v>
          </cell>
        </row>
        <row r="139">
          <cell r="H139" t="str">
            <v>Veículo de passeio a gasolina</v>
          </cell>
          <cell r="I139">
            <v>2.2690000000000001</v>
          </cell>
          <cell r="J139">
            <v>2.2690000000000001</v>
          </cell>
          <cell r="K139">
            <v>2.2690000000000001</v>
          </cell>
          <cell r="L139">
            <v>2.2690000000000001</v>
          </cell>
          <cell r="M139">
            <v>2.2690000000000001</v>
          </cell>
          <cell r="N139">
            <v>2.2690000000000001</v>
          </cell>
          <cell r="O139">
            <v>2.2690000000000001</v>
          </cell>
          <cell r="P139">
            <v>2.2690000000000001</v>
          </cell>
          <cell r="Q139">
            <v>2.2690000000000001</v>
          </cell>
          <cell r="R139">
            <v>2.2690000000000001</v>
          </cell>
          <cell r="S139">
            <v>2.2690000000000001</v>
          </cell>
          <cell r="T139">
            <v>2.2690000000000001</v>
          </cell>
          <cell r="U139">
            <v>2.2690000000000001</v>
          </cell>
          <cell r="V139">
            <v>2.2690000000000001</v>
          </cell>
          <cell r="W139">
            <v>2.2690000000000001</v>
          </cell>
          <cell r="X139">
            <v>2.2690000000000001</v>
          </cell>
          <cell r="Y139">
            <v>2.2690000000000001</v>
          </cell>
          <cell r="Z139">
            <v>2.2690000000000001</v>
          </cell>
          <cell r="AA139">
            <v>2.2690000000000001</v>
          </cell>
          <cell r="AB139">
            <v>2.2690000000000001</v>
          </cell>
          <cell r="AC139">
            <v>2.2690000000000001</v>
          </cell>
          <cell r="AD139">
            <v>2.2690000000000001</v>
          </cell>
          <cell r="AE139">
            <v>2.2690000000000001</v>
          </cell>
          <cell r="AF139">
            <v>2.9321667648000001E-4</v>
          </cell>
          <cell r="AG139">
            <v>2.9321667648000001E-4</v>
          </cell>
          <cell r="AH139">
            <v>2.8677235391999999E-4</v>
          </cell>
          <cell r="AI139">
            <v>2.7388370880000002E-4</v>
          </cell>
          <cell r="AJ139">
            <v>2.5777290240000002E-4</v>
          </cell>
          <cell r="AK139">
            <v>2.4166209599999999E-4</v>
          </cell>
          <cell r="AL139">
            <v>2.1910696704000002E-4</v>
          </cell>
          <cell r="AM139">
            <v>1.9655183807999998E-4</v>
          </cell>
          <cell r="AN139">
            <v>1.772188704E-4</v>
          </cell>
          <cell r="AO139">
            <v>1.6110806399999999E-4</v>
          </cell>
          <cell r="AP139">
            <v>1.4499725759999999E-4</v>
          </cell>
          <cell r="AQ139">
            <v>1.3210861247999999E-4</v>
          </cell>
          <cell r="AR139">
            <v>1.1921996736000002E-4</v>
          </cell>
          <cell r="AS139">
            <v>1.0955348352000001E-4</v>
          </cell>
          <cell r="AT139">
            <v>1.0310916096000001E-4</v>
          </cell>
          <cell r="AU139">
            <v>9.66648384E-5</v>
          </cell>
          <cell r="AV139">
            <v>9.66648384E-5</v>
          </cell>
          <cell r="AW139">
            <v>9.66648384E-5</v>
          </cell>
          <cell r="AX139">
            <v>9.66648384E-5</v>
          </cell>
          <cell r="AY139">
            <v>9.66648384E-5</v>
          </cell>
          <cell r="AZ139">
            <v>9.66648384E-5</v>
          </cell>
          <cell r="BA139">
            <v>9.66648384E-5</v>
          </cell>
          <cell r="BB139">
            <v>9.66648384E-5</v>
          </cell>
          <cell r="BC139">
            <v>6.3798793344000006E-5</v>
          </cell>
          <cell r="BD139">
            <v>6.3798793344000006E-5</v>
          </cell>
          <cell r="BE139">
            <v>6.3798793344000006E-5</v>
          </cell>
          <cell r="BF139">
            <v>6.3798793344000006E-5</v>
          </cell>
          <cell r="BG139">
            <v>6.3798793344000006E-5</v>
          </cell>
          <cell r="BH139">
            <v>6.3798793344000006E-5</v>
          </cell>
          <cell r="BI139">
            <v>6.3798793344000006E-5</v>
          </cell>
          <cell r="BJ139">
            <v>6.3798793344000006E-5</v>
          </cell>
          <cell r="BK139">
            <v>6.3798793344000006E-5</v>
          </cell>
          <cell r="BL139">
            <v>6.3798793344000006E-5</v>
          </cell>
          <cell r="BM139">
            <v>6.3798793344000006E-5</v>
          </cell>
          <cell r="BN139">
            <v>6.3798793344000006E-5</v>
          </cell>
          <cell r="BO139">
            <v>6.3798793344000006E-5</v>
          </cell>
          <cell r="BP139">
            <v>6.3798793344000006E-5</v>
          </cell>
          <cell r="BQ139">
            <v>6.3798793344000006E-5</v>
          </cell>
          <cell r="BR139">
            <v>6.3798793344000006E-5</v>
          </cell>
          <cell r="BS139">
            <v>6.3798793344000006E-5</v>
          </cell>
          <cell r="BT139">
            <v>6.3798793344000006E-5</v>
          </cell>
          <cell r="BU139">
            <v>6.3798793344000006E-5</v>
          </cell>
          <cell r="BV139">
            <v>6.3798793344000006E-5</v>
          </cell>
          <cell r="BW139">
            <v>6.3798793344000006E-5</v>
          </cell>
          <cell r="BX139">
            <v>6.3798793344000006E-5</v>
          </cell>
          <cell r="BY139">
            <v>6.3798793344000006E-5</v>
          </cell>
        </row>
        <row r="140">
          <cell r="H140" t="str">
            <v>Veículo de passeio flex a gasolina</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v>2.2690000000000001</v>
          </cell>
          <cell r="W140">
            <v>2.2690000000000001</v>
          </cell>
          <cell r="X140">
            <v>2.2690000000000001</v>
          </cell>
          <cell r="Y140">
            <v>2.2690000000000001</v>
          </cell>
          <cell r="Z140">
            <v>2.2690000000000001</v>
          </cell>
          <cell r="AA140">
            <v>2.2690000000000001</v>
          </cell>
          <cell r="AB140">
            <v>2.2690000000000001</v>
          </cell>
          <cell r="AC140">
            <v>2.2690000000000001</v>
          </cell>
          <cell r="AD140">
            <v>2.2690000000000001</v>
          </cell>
          <cell r="AE140">
            <v>2.2690000000000001</v>
          </cell>
          <cell r="AF140" t="str">
            <v>-</v>
          </cell>
          <cell r="AG140" t="str">
            <v>-</v>
          </cell>
          <cell r="AH140" t="str">
            <v>-</v>
          </cell>
          <cell r="AI140" t="str">
            <v>-</v>
          </cell>
          <cell r="AJ140" t="str">
            <v>-</v>
          </cell>
          <cell r="AK140" t="str">
            <v>-</v>
          </cell>
          <cell r="AL140" t="str">
            <v>-</v>
          </cell>
          <cell r="AM140" t="str">
            <v>-</v>
          </cell>
          <cell r="AN140" t="str">
            <v>-</v>
          </cell>
          <cell r="AO140" t="str">
            <v>-</v>
          </cell>
          <cell r="AP140" t="str">
            <v>-</v>
          </cell>
          <cell r="AQ140" t="str">
            <v>-</v>
          </cell>
          <cell r="AR140" t="str">
            <v>-</v>
          </cell>
          <cell r="AS140">
            <v>1.0955348352000001E-4</v>
          </cell>
          <cell r="AT140">
            <v>1.0310916096000001E-4</v>
          </cell>
          <cell r="AU140">
            <v>9.66648384E-5</v>
          </cell>
          <cell r="AV140">
            <v>9.66648384E-5</v>
          </cell>
          <cell r="AW140">
            <v>9.66648384E-5</v>
          </cell>
          <cell r="AX140">
            <v>9.66648384E-5</v>
          </cell>
          <cell r="AY140">
            <v>9.66648384E-5</v>
          </cell>
          <cell r="AZ140">
            <v>9.66648384E-5</v>
          </cell>
          <cell r="BA140">
            <v>9.66648384E-5</v>
          </cell>
          <cell r="BB140">
            <v>9.66648384E-5</v>
          </cell>
          <cell r="BC140" t="str">
            <v>-</v>
          </cell>
          <cell r="BD140" t="str">
            <v>-</v>
          </cell>
          <cell r="BE140" t="str">
            <v>-</v>
          </cell>
          <cell r="BF140" t="str">
            <v>-</v>
          </cell>
          <cell r="BG140" t="str">
            <v>-</v>
          </cell>
          <cell r="BH140" t="str">
            <v>-</v>
          </cell>
          <cell r="BI140" t="str">
            <v>-</v>
          </cell>
          <cell r="BJ140" t="str">
            <v>-</v>
          </cell>
          <cell r="BK140" t="str">
            <v>-</v>
          </cell>
          <cell r="BL140" t="str">
            <v>-</v>
          </cell>
          <cell r="BM140" t="str">
            <v>-</v>
          </cell>
          <cell r="BN140" t="str">
            <v>-</v>
          </cell>
          <cell r="BO140" t="str">
            <v>-</v>
          </cell>
          <cell r="BP140">
            <v>6.3798793344000006E-5</v>
          </cell>
          <cell r="BQ140">
            <v>6.3798793344000006E-5</v>
          </cell>
          <cell r="BR140">
            <v>6.3798793344000006E-5</v>
          </cell>
          <cell r="BS140">
            <v>6.3798793344000006E-5</v>
          </cell>
          <cell r="BT140">
            <v>6.3798793344000006E-5</v>
          </cell>
          <cell r="BU140">
            <v>6.3798793344000006E-5</v>
          </cell>
          <cell r="BV140">
            <v>6.3798793344000006E-5</v>
          </cell>
          <cell r="BW140">
            <v>6.3798793344000006E-5</v>
          </cell>
          <cell r="BX140">
            <v>6.3798793344000006E-5</v>
          </cell>
          <cell r="BY140">
            <v>6.3798793344000006E-5</v>
          </cell>
        </row>
        <row r="141">
          <cell r="H141" t="str">
            <v>Motocicletas a gasolina</v>
          </cell>
          <cell r="I141">
            <v>2.2690000000000001</v>
          </cell>
          <cell r="J141">
            <v>2.2690000000000001</v>
          </cell>
          <cell r="K141">
            <v>2.2690000000000001</v>
          </cell>
          <cell r="L141">
            <v>2.2690000000000001</v>
          </cell>
          <cell r="M141">
            <v>2.2690000000000001</v>
          </cell>
          <cell r="N141">
            <v>2.2690000000000001</v>
          </cell>
          <cell r="O141">
            <v>2.2690000000000001</v>
          </cell>
          <cell r="P141">
            <v>2.2690000000000001</v>
          </cell>
          <cell r="Q141">
            <v>2.2690000000000001</v>
          </cell>
          <cell r="R141">
            <v>2.2690000000000001</v>
          </cell>
          <cell r="S141">
            <v>2.2690000000000001</v>
          </cell>
          <cell r="T141">
            <v>2.2690000000000001</v>
          </cell>
          <cell r="U141">
            <v>2.2690000000000001</v>
          </cell>
          <cell r="V141">
            <v>2.2690000000000001</v>
          </cell>
          <cell r="W141">
            <v>2.2690000000000001</v>
          </cell>
          <cell r="X141">
            <v>2.2690000000000001</v>
          </cell>
          <cell r="Y141">
            <v>2.2690000000000001</v>
          </cell>
          <cell r="Z141">
            <v>2.2690000000000001</v>
          </cell>
          <cell r="AA141">
            <v>2.2690000000000001</v>
          </cell>
          <cell r="AB141">
            <v>2.2690000000000001</v>
          </cell>
          <cell r="AC141">
            <v>2.2690000000000001</v>
          </cell>
          <cell r="AD141">
            <v>2.2690000000000001</v>
          </cell>
          <cell r="AE141">
            <v>2.2690000000000001</v>
          </cell>
          <cell r="AF141">
            <v>1.5600000000000001E-2</v>
          </cell>
          <cell r="AG141">
            <v>1.5600000000000001E-2</v>
          </cell>
          <cell r="AH141">
            <v>1.5600000000000001E-2</v>
          </cell>
          <cell r="AI141">
            <v>1.5600000000000001E-2</v>
          </cell>
          <cell r="AJ141">
            <v>1.5600000000000001E-2</v>
          </cell>
          <cell r="AK141">
            <v>1.5600000000000001E-2</v>
          </cell>
          <cell r="AL141">
            <v>1.5600000000000001E-2</v>
          </cell>
          <cell r="AM141">
            <v>1.5600000000000001E-2</v>
          </cell>
          <cell r="AN141">
            <v>1.5600000000000001E-2</v>
          </cell>
          <cell r="AO141">
            <v>1.5600000000000001E-2</v>
          </cell>
          <cell r="AP141">
            <v>1.5600000000000001E-2</v>
          </cell>
          <cell r="AQ141">
            <v>1.5600000000000001E-2</v>
          </cell>
          <cell r="AR141">
            <v>1.5600000000000001E-2</v>
          </cell>
          <cell r="AS141">
            <v>5.1999999999999998E-3</v>
          </cell>
          <cell r="AT141">
            <v>4.7999999999999996E-3</v>
          </cell>
          <cell r="AU141">
            <v>3.5999999999999995E-3</v>
          </cell>
          <cell r="AV141">
            <v>2E-3</v>
          </cell>
          <cell r="AW141">
            <v>2E-3</v>
          </cell>
          <cell r="AX141">
            <v>1.1999999999999999E-3</v>
          </cell>
          <cell r="AY141">
            <v>1.1999999999999999E-3</v>
          </cell>
          <cell r="AZ141">
            <v>1.1999999999999999E-3</v>
          </cell>
          <cell r="BA141">
            <v>1.1999999999999999E-3</v>
          </cell>
          <cell r="BB141">
            <v>1.1999999999999999E-3</v>
          </cell>
          <cell r="BC141" t="str">
            <v>-</v>
          </cell>
          <cell r="BD141" t="str">
            <v>-</v>
          </cell>
          <cell r="BE141" t="str">
            <v>-</v>
          </cell>
          <cell r="BF141" t="str">
            <v>-</v>
          </cell>
          <cell r="BG141" t="str">
            <v>-</v>
          </cell>
          <cell r="BH141" t="str">
            <v>-</v>
          </cell>
          <cell r="BI141" t="str">
            <v>-</v>
          </cell>
          <cell r="BJ141" t="str">
            <v>-</v>
          </cell>
          <cell r="BK141" t="str">
            <v>-</v>
          </cell>
          <cell r="BL141" t="str">
            <v>-</v>
          </cell>
          <cell r="BM141" t="str">
            <v>-</v>
          </cell>
          <cell r="BN141" t="str">
            <v>-</v>
          </cell>
          <cell r="BO141" t="str">
            <v>-</v>
          </cell>
          <cell r="BP141" t="str">
            <v>-</v>
          </cell>
          <cell r="BQ141" t="str">
            <v>-</v>
          </cell>
          <cell r="BR141" t="str">
            <v>-</v>
          </cell>
          <cell r="BS141" t="str">
            <v>-</v>
          </cell>
          <cell r="BT141" t="str">
            <v>-</v>
          </cell>
          <cell r="BU141" t="str">
            <v>-</v>
          </cell>
          <cell r="BV141" t="str">
            <v>-</v>
          </cell>
          <cell r="BW141" t="str">
            <v>-</v>
          </cell>
          <cell r="BX141" t="str">
            <v>-</v>
          </cell>
          <cell r="BY141" t="str">
            <v>-</v>
          </cell>
        </row>
        <row r="142">
          <cell r="H142" t="str">
            <v>Motocicletas flex a gasolina</v>
          </cell>
          <cell r="I142" t="str">
            <v>-</v>
          </cell>
          <cell r="J142" t="str">
            <v>-</v>
          </cell>
          <cell r="K142" t="str">
            <v>-</v>
          </cell>
          <cell r="L142" t="str">
            <v>-</v>
          </cell>
          <cell r="M142" t="str">
            <v>-</v>
          </cell>
          <cell r="N142" t="str">
            <v>-</v>
          </cell>
          <cell r="O142" t="str">
            <v>-</v>
          </cell>
          <cell r="P142" t="str">
            <v>-</v>
          </cell>
          <cell r="Q142" t="str">
            <v>-</v>
          </cell>
          <cell r="R142" t="str">
            <v>-</v>
          </cell>
          <cell r="S142" t="str">
            <v>-</v>
          </cell>
          <cell r="T142" t="str">
            <v>-</v>
          </cell>
          <cell r="U142" t="str">
            <v>-</v>
          </cell>
          <cell r="V142" t="str">
            <v>-</v>
          </cell>
          <cell r="W142" t="str">
            <v>-</v>
          </cell>
          <cell r="X142" t="str">
            <v>-</v>
          </cell>
          <cell r="Y142" t="str">
            <v>-</v>
          </cell>
          <cell r="Z142">
            <v>2.2690000000000001</v>
          </cell>
          <cell r="AA142">
            <v>2.2690000000000001</v>
          </cell>
          <cell r="AB142">
            <v>2.2690000000000001</v>
          </cell>
          <cell r="AC142">
            <v>2.2690000000000001</v>
          </cell>
          <cell r="AD142">
            <v>2.2690000000000001</v>
          </cell>
          <cell r="AE142">
            <v>2.2690000000000001</v>
          </cell>
          <cell r="AF142" t="str">
            <v>-</v>
          </cell>
          <cell r="AG142" t="str">
            <v>-</v>
          </cell>
          <cell r="AH142" t="str">
            <v>-</v>
          </cell>
          <cell r="AI142" t="str">
            <v>-</v>
          </cell>
          <cell r="AJ142" t="str">
            <v>-</v>
          </cell>
          <cell r="AK142" t="str">
            <v>-</v>
          </cell>
          <cell r="AL142" t="str">
            <v>-</v>
          </cell>
          <cell r="AM142" t="str">
            <v>-</v>
          </cell>
          <cell r="AN142" t="str">
            <v>-</v>
          </cell>
          <cell r="AO142" t="str">
            <v>-</v>
          </cell>
          <cell r="AP142" t="str">
            <v>-</v>
          </cell>
          <cell r="AQ142" t="str">
            <v>-</v>
          </cell>
          <cell r="AR142" t="str">
            <v>-</v>
          </cell>
          <cell r="AS142" t="str">
            <v>-</v>
          </cell>
          <cell r="AT142" t="str">
            <v>-</v>
          </cell>
          <cell r="AU142" t="str">
            <v>-</v>
          </cell>
          <cell r="AV142" t="str">
            <v>-</v>
          </cell>
          <cell r="AW142">
            <v>2E-3</v>
          </cell>
          <cell r="AX142">
            <v>1.1999999999999999E-3</v>
          </cell>
          <cell r="AY142">
            <v>1.1999999999999999E-3</v>
          </cell>
          <cell r="AZ142">
            <v>1.1999999999999999E-3</v>
          </cell>
          <cell r="BA142">
            <v>1.1999999999999999E-3</v>
          </cell>
          <cell r="BB142">
            <v>1.1999999999999999E-3</v>
          </cell>
          <cell r="BC142" t="str">
            <v>-</v>
          </cell>
          <cell r="BD142" t="str">
            <v>-</v>
          </cell>
          <cell r="BE142" t="str">
            <v>-</v>
          </cell>
          <cell r="BF142" t="str">
            <v>-</v>
          </cell>
          <cell r="BG142" t="str">
            <v>-</v>
          </cell>
          <cell r="BH142" t="str">
            <v>-</v>
          </cell>
          <cell r="BI142" t="str">
            <v>-</v>
          </cell>
          <cell r="BJ142" t="str">
            <v>-</v>
          </cell>
          <cell r="BK142" t="str">
            <v>-</v>
          </cell>
          <cell r="BL142" t="str">
            <v>-</v>
          </cell>
          <cell r="BM142" t="str">
            <v>-</v>
          </cell>
          <cell r="BN142" t="str">
            <v>-</v>
          </cell>
          <cell r="BO142" t="str">
            <v>-</v>
          </cell>
          <cell r="BP142" t="str">
            <v>-</v>
          </cell>
          <cell r="BQ142" t="str">
            <v>-</v>
          </cell>
          <cell r="BR142" t="str">
            <v>-</v>
          </cell>
          <cell r="BS142" t="str">
            <v>-</v>
          </cell>
          <cell r="BT142" t="str">
            <v>-</v>
          </cell>
          <cell r="BU142" t="str">
            <v>-</v>
          </cell>
          <cell r="BV142" t="str">
            <v>-</v>
          </cell>
          <cell r="BW142" t="str">
            <v>-</v>
          </cell>
          <cell r="BX142" t="str">
            <v>-</v>
          </cell>
          <cell r="BY142" t="str">
            <v>-</v>
          </cell>
        </row>
        <row r="143">
          <cell r="H143" t="str">
            <v>Veículo comercial leve a gasolina</v>
          </cell>
          <cell r="I143">
            <v>2.2690000000000001</v>
          </cell>
          <cell r="J143">
            <v>2.2690000000000001</v>
          </cell>
          <cell r="K143">
            <v>2.2690000000000001</v>
          </cell>
          <cell r="L143">
            <v>2.2690000000000001</v>
          </cell>
          <cell r="M143">
            <v>2.2690000000000001</v>
          </cell>
          <cell r="N143">
            <v>2.2690000000000001</v>
          </cell>
          <cell r="O143">
            <v>2.2690000000000001</v>
          </cell>
          <cell r="P143">
            <v>2.2690000000000001</v>
          </cell>
          <cell r="Q143">
            <v>2.2690000000000001</v>
          </cell>
          <cell r="R143">
            <v>2.2690000000000001</v>
          </cell>
          <cell r="S143">
            <v>2.2690000000000001</v>
          </cell>
          <cell r="T143">
            <v>2.2690000000000001</v>
          </cell>
          <cell r="U143">
            <v>2.2690000000000001</v>
          </cell>
          <cell r="V143">
            <v>2.2690000000000001</v>
          </cell>
          <cell r="W143">
            <v>2.2690000000000001</v>
          </cell>
          <cell r="X143">
            <v>2.2690000000000001</v>
          </cell>
          <cell r="Y143">
            <v>2.2690000000000001</v>
          </cell>
          <cell r="Z143">
            <v>2.2690000000000001</v>
          </cell>
          <cell r="AA143">
            <v>2.2690000000000001</v>
          </cell>
          <cell r="AB143">
            <v>2.2690000000000001</v>
          </cell>
          <cell r="AC143">
            <v>2.2690000000000001</v>
          </cell>
          <cell r="AD143">
            <v>2.2690000000000001</v>
          </cell>
          <cell r="AE143">
            <v>2.2690000000000001</v>
          </cell>
          <cell r="AF143">
            <v>2.9321667648000001E-4</v>
          </cell>
          <cell r="AG143">
            <v>2.9321667648000001E-4</v>
          </cell>
          <cell r="AH143">
            <v>2.8355019264000007E-4</v>
          </cell>
          <cell r="AI143">
            <v>2.7066154752000004E-4</v>
          </cell>
          <cell r="AJ143">
            <v>2.5132857984000006E-4</v>
          </cell>
          <cell r="AK143">
            <v>2.3199561216E-4</v>
          </cell>
          <cell r="AL143">
            <v>2.0621832192000003E-4</v>
          </cell>
          <cell r="AM143">
            <v>1.8044103167999998E-4</v>
          </cell>
          <cell r="AN143">
            <v>1.5788590272000001E-4</v>
          </cell>
          <cell r="AO143">
            <v>1.4177509632000003E-4</v>
          </cell>
          <cell r="AP143">
            <v>1.2888645120000001E-4</v>
          </cell>
          <cell r="AQ143">
            <v>1.1921996736000002E-4</v>
          </cell>
          <cell r="AR143">
            <v>1.0955348352000001E-4</v>
          </cell>
          <cell r="AS143">
            <v>1.0310916096000001E-4</v>
          </cell>
          <cell r="AT143">
            <v>9.3442677120000007E-5</v>
          </cell>
          <cell r="AU143">
            <v>8.6998354560000008E-5</v>
          </cell>
          <cell r="AV143">
            <v>8.6998354560000008E-5</v>
          </cell>
          <cell r="AW143">
            <v>8.6998354560000008E-5</v>
          </cell>
          <cell r="AX143">
            <v>8.6998354560000008E-5</v>
          </cell>
          <cell r="AY143">
            <v>8.6998354560000008E-5</v>
          </cell>
          <cell r="AZ143">
            <v>8.6998354560000008E-5</v>
          </cell>
          <cell r="BA143">
            <v>8.6998354560000008E-5</v>
          </cell>
          <cell r="BB143">
            <v>8.6998354560000008E-5</v>
          </cell>
          <cell r="BC143">
            <v>6.3798793344000006E-5</v>
          </cell>
          <cell r="BD143">
            <v>6.3798793344000006E-5</v>
          </cell>
          <cell r="BE143">
            <v>6.3798793344000006E-5</v>
          </cell>
          <cell r="BF143">
            <v>6.3798793344000006E-5</v>
          </cell>
          <cell r="BG143">
            <v>6.3798793344000006E-5</v>
          </cell>
          <cell r="BH143">
            <v>6.3798793344000006E-5</v>
          </cell>
          <cell r="BI143">
            <v>6.3798793344000006E-5</v>
          </cell>
          <cell r="BJ143">
            <v>6.3798793344000006E-5</v>
          </cell>
          <cell r="BK143">
            <v>6.3798793344000006E-5</v>
          </cell>
          <cell r="BL143">
            <v>6.3798793344000006E-5</v>
          </cell>
          <cell r="BM143">
            <v>6.3798793344000006E-5</v>
          </cell>
          <cell r="BN143">
            <v>6.3798793344000006E-5</v>
          </cell>
          <cell r="BO143">
            <v>6.3798793344000006E-5</v>
          </cell>
          <cell r="BP143">
            <v>6.3798793344000006E-5</v>
          </cell>
          <cell r="BQ143">
            <v>6.3798793344000006E-5</v>
          </cell>
          <cell r="BR143">
            <v>6.3798793344000006E-5</v>
          </cell>
          <cell r="BS143">
            <v>6.3798793344000006E-5</v>
          </cell>
          <cell r="BT143">
            <v>6.3798793344000006E-5</v>
          </cell>
          <cell r="BU143">
            <v>6.3798793344000006E-5</v>
          </cell>
          <cell r="BV143">
            <v>6.3798793344000006E-5</v>
          </cell>
          <cell r="BW143">
            <v>6.3798793344000006E-5</v>
          </cell>
          <cell r="BX143">
            <v>6.3798793344000006E-5</v>
          </cell>
          <cell r="BY143">
            <v>6.3798793344000006E-5</v>
          </cell>
        </row>
        <row r="144">
          <cell r="H144" t="str">
            <v>Ônibus rodoviário a gasolina</v>
          </cell>
          <cell r="I144">
            <v>2.2690000000000001</v>
          </cell>
          <cell r="J144">
            <v>2.2690000000000001</v>
          </cell>
          <cell r="K144">
            <v>2.2690000000000001</v>
          </cell>
          <cell r="L144">
            <v>2.2690000000000001</v>
          </cell>
          <cell r="M144">
            <v>2.2690000000000001</v>
          </cell>
          <cell r="N144">
            <v>2.2690000000000001</v>
          </cell>
          <cell r="O144">
            <v>2.2690000000000001</v>
          </cell>
          <cell r="P144">
            <v>2.2690000000000001</v>
          </cell>
          <cell r="Q144">
            <v>2.2690000000000001</v>
          </cell>
          <cell r="R144">
            <v>2.2690000000000001</v>
          </cell>
          <cell r="S144">
            <v>2.2690000000000001</v>
          </cell>
          <cell r="T144">
            <v>2.2690000000000001</v>
          </cell>
          <cell r="U144">
            <v>2.2690000000000001</v>
          </cell>
          <cell r="V144">
            <v>2.2690000000000001</v>
          </cell>
          <cell r="W144">
            <v>2.2690000000000001</v>
          </cell>
          <cell r="X144">
            <v>2.2690000000000001</v>
          </cell>
          <cell r="Y144">
            <v>2.2690000000000001</v>
          </cell>
          <cell r="Z144">
            <v>2.2690000000000001</v>
          </cell>
          <cell r="AA144">
            <v>2.2690000000000001</v>
          </cell>
          <cell r="AB144">
            <v>2.2690000000000001</v>
          </cell>
          <cell r="AC144">
            <v>2.2690000000000001</v>
          </cell>
          <cell r="AD144">
            <v>2.2690000000000001</v>
          </cell>
          <cell r="AE144">
            <v>2.2690000000000001</v>
          </cell>
          <cell r="AF144">
            <v>2.9321667648000001E-4</v>
          </cell>
          <cell r="AG144">
            <v>2.9321667648000001E-4</v>
          </cell>
          <cell r="AH144">
            <v>2.9321667648000001E-4</v>
          </cell>
          <cell r="AI144">
            <v>2.9321667648000001E-4</v>
          </cell>
          <cell r="AJ144">
            <v>2.9321667648000001E-4</v>
          </cell>
          <cell r="AK144">
            <v>2.9321667648000001E-4</v>
          </cell>
          <cell r="AL144">
            <v>2.9321667648000001E-4</v>
          </cell>
          <cell r="AM144">
            <v>2.9321667648000001E-4</v>
          </cell>
          <cell r="AN144">
            <v>2.9321667648000001E-4</v>
          </cell>
          <cell r="AO144">
            <v>2.9321667648000001E-4</v>
          </cell>
          <cell r="AP144">
            <v>2.9321667648000001E-4</v>
          </cell>
          <cell r="AQ144">
            <v>2.9321667648000001E-4</v>
          </cell>
          <cell r="AR144">
            <v>2.9321667648000001E-4</v>
          </cell>
          <cell r="AS144">
            <v>2.9321667648000001E-4</v>
          </cell>
          <cell r="AT144">
            <v>2.9321667648000001E-4</v>
          </cell>
          <cell r="AU144">
            <v>2.9321667648000001E-4</v>
          </cell>
          <cell r="AV144">
            <v>2.9321667648000001E-4</v>
          </cell>
          <cell r="AW144">
            <v>2.9321667648000001E-4</v>
          </cell>
          <cell r="AX144">
            <v>2.9321667648000001E-4</v>
          </cell>
          <cell r="AY144">
            <v>2.9321667648000001E-4</v>
          </cell>
          <cell r="AZ144">
            <v>2.9321667648000001E-4</v>
          </cell>
          <cell r="BA144">
            <v>2.9321667648000001E-4</v>
          </cell>
          <cell r="BB144">
            <v>2.9321667648000001E-4</v>
          </cell>
          <cell r="BC144">
            <v>6.3798793344000006E-5</v>
          </cell>
          <cell r="BD144">
            <v>6.3798793344000006E-5</v>
          </cell>
          <cell r="BE144">
            <v>6.3798793344000006E-5</v>
          </cell>
          <cell r="BF144">
            <v>6.3798793344000006E-5</v>
          </cell>
          <cell r="BG144">
            <v>6.3798793344000006E-5</v>
          </cell>
          <cell r="BH144">
            <v>6.3798793344000006E-5</v>
          </cell>
          <cell r="BI144">
            <v>6.3798793344000006E-5</v>
          </cell>
          <cell r="BJ144">
            <v>6.3798793344000006E-5</v>
          </cell>
          <cell r="BK144">
            <v>6.3798793344000006E-5</v>
          </cell>
          <cell r="BL144">
            <v>6.3798793344000006E-5</v>
          </cell>
          <cell r="BM144">
            <v>6.3798793344000006E-5</v>
          </cell>
          <cell r="BN144">
            <v>6.3798793344000006E-5</v>
          </cell>
          <cell r="BO144">
            <v>6.3798793344000006E-5</v>
          </cell>
          <cell r="BP144">
            <v>6.3798793344000006E-5</v>
          </cell>
          <cell r="BQ144">
            <v>6.3798793344000006E-5</v>
          </cell>
          <cell r="BR144">
            <v>6.3798793344000006E-5</v>
          </cell>
          <cell r="BS144">
            <v>6.3798793344000006E-5</v>
          </cell>
          <cell r="BT144">
            <v>6.3798793344000006E-5</v>
          </cell>
          <cell r="BU144">
            <v>6.3798793344000006E-5</v>
          </cell>
          <cell r="BV144">
            <v>6.3798793344000006E-5</v>
          </cell>
          <cell r="BW144">
            <v>6.3798793344000006E-5</v>
          </cell>
          <cell r="BX144">
            <v>6.3798793344000006E-5</v>
          </cell>
          <cell r="BY144">
            <v>6.3798793344000006E-5</v>
          </cell>
        </row>
        <row r="145">
          <cell r="H145" t="str">
            <v>Ônibus urbano a gasolina</v>
          </cell>
          <cell r="I145">
            <v>2.2690000000000001</v>
          </cell>
          <cell r="J145">
            <v>2.2690000000000001</v>
          </cell>
          <cell r="K145">
            <v>2.2690000000000001</v>
          </cell>
          <cell r="L145">
            <v>2.2690000000000001</v>
          </cell>
          <cell r="M145">
            <v>2.2690000000000001</v>
          </cell>
          <cell r="N145">
            <v>2.2690000000000001</v>
          </cell>
          <cell r="O145">
            <v>2.2690000000000001</v>
          </cell>
          <cell r="P145">
            <v>2.2690000000000001</v>
          </cell>
          <cell r="Q145">
            <v>2.2690000000000001</v>
          </cell>
          <cell r="R145">
            <v>2.2690000000000001</v>
          </cell>
          <cell r="S145">
            <v>2.2690000000000001</v>
          </cell>
          <cell r="T145">
            <v>2.2690000000000001</v>
          </cell>
          <cell r="U145">
            <v>2.2690000000000001</v>
          </cell>
          <cell r="V145">
            <v>2.2690000000000001</v>
          </cell>
          <cell r="W145">
            <v>2.2690000000000001</v>
          </cell>
          <cell r="X145">
            <v>2.2690000000000001</v>
          </cell>
          <cell r="Y145">
            <v>2.2690000000000001</v>
          </cell>
          <cell r="Z145">
            <v>2.2690000000000001</v>
          </cell>
          <cell r="AA145">
            <v>2.2690000000000001</v>
          </cell>
          <cell r="AB145">
            <v>2.2690000000000001</v>
          </cell>
          <cell r="AC145">
            <v>2.2690000000000001</v>
          </cell>
          <cell r="AD145">
            <v>2.2690000000000001</v>
          </cell>
          <cell r="AE145">
            <v>2.2690000000000001</v>
          </cell>
          <cell r="AF145">
            <v>2.9321667648000001E-4</v>
          </cell>
          <cell r="AG145">
            <v>2.9321667648000001E-4</v>
          </cell>
          <cell r="AH145">
            <v>2.9321667648000001E-4</v>
          </cell>
          <cell r="AI145">
            <v>2.9321667648000001E-4</v>
          </cell>
          <cell r="AJ145">
            <v>2.9321667648000001E-4</v>
          </cell>
          <cell r="AK145">
            <v>2.9321667648000001E-4</v>
          </cell>
          <cell r="AL145">
            <v>2.9321667648000001E-4</v>
          </cell>
          <cell r="AM145">
            <v>2.9321667648000001E-4</v>
          </cell>
          <cell r="AN145">
            <v>2.9321667648000001E-4</v>
          </cell>
          <cell r="AO145">
            <v>2.9321667648000001E-4</v>
          </cell>
          <cell r="AP145">
            <v>2.9321667648000001E-4</v>
          </cell>
          <cell r="AQ145">
            <v>2.9321667648000001E-4</v>
          </cell>
          <cell r="AR145">
            <v>2.9321667648000001E-4</v>
          </cell>
          <cell r="AS145">
            <v>2.9321667648000001E-4</v>
          </cell>
          <cell r="AT145">
            <v>2.9321667648000001E-4</v>
          </cell>
          <cell r="AU145">
            <v>2.9321667648000001E-4</v>
          </cell>
          <cell r="AV145">
            <v>2.9321667648000001E-4</v>
          </cell>
          <cell r="AW145">
            <v>2.9321667648000001E-4</v>
          </cell>
          <cell r="AX145">
            <v>2.9321667648000001E-4</v>
          </cell>
          <cell r="AY145">
            <v>2.9321667648000001E-4</v>
          </cell>
          <cell r="AZ145">
            <v>2.9321667648000001E-4</v>
          </cell>
          <cell r="BA145">
            <v>2.9321667648000001E-4</v>
          </cell>
          <cell r="BB145">
            <v>2.9321667648000001E-4</v>
          </cell>
          <cell r="BC145">
            <v>6.3798793344000006E-5</v>
          </cell>
          <cell r="BD145">
            <v>6.3798793344000006E-5</v>
          </cell>
          <cell r="BE145">
            <v>6.3798793344000006E-5</v>
          </cell>
          <cell r="BF145">
            <v>6.3798793344000006E-5</v>
          </cell>
          <cell r="BG145">
            <v>6.3798793344000006E-5</v>
          </cell>
          <cell r="BH145">
            <v>6.3798793344000006E-5</v>
          </cell>
          <cell r="BI145">
            <v>6.3798793344000006E-5</v>
          </cell>
          <cell r="BJ145">
            <v>6.3798793344000006E-5</v>
          </cell>
          <cell r="BK145">
            <v>6.3798793344000006E-5</v>
          </cell>
          <cell r="BL145">
            <v>6.3798793344000006E-5</v>
          </cell>
          <cell r="BM145">
            <v>6.3798793344000006E-5</v>
          </cell>
          <cell r="BN145">
            <v>6.3798793344000006E-5</v>
          </cell>
          <cell r="BO145">
            <v>6.3798793344000006E-5</v>
          </cell>
          <cell r="BP145">
            <v>6.3798793344000006E-5</v>
          </cell>
          <cell r="BQ145">
            <v>6.3798793344000006E-5</v>
          </cell>
          <cell r="BR145">
            <v>6.3798793344000006E-5</v>
          </cell>
          <cell r="BS145">
            <v>6.3798793344000006E-5</v>
          </cell>
          <cell r="BT145">
            <v>6.3798793344000006E-5</v>
          </cell>
          <cell r="BU145">
            <v>6.3798793344000006E-5</v>
          </cell>
          <cell r="BV145">
            <v>6.3798793344000006E-5</v>
          </cell>
          <cell r="BW145">
            <v>6.3798793344000006E-5</v>
          </cell>
          <cell r="BX145">
            <v>6.3798793344000006E-5</v>
          </cell>
          <cell r="BY145">
            <v>6.3798793344000006E-5</v>
          </cell>
        </row>
        <row r="146">
          <cell r="H146" t="str">
            <v>Caminhão leve a gasolina</v>
          </cell>
          <cell r="I146">
            <v>2.2690000000000001</v>
          </cell>
          <cell r="J146">
            <v>2.2690000000000001</v>
          </cell>
          <cell r="K146">
            <v>2.2690000000000001</v>
          </cell>
          <cell r="L146">
            <v>2.2690000000000001</v>
          </cell>
          <cell r="M146">
            <v>2.2690000000000001</v>
          </cell>
          <cell r="N146">
            <v>2.2690000000000001</v>
          </cell>
          <cell r="O146">
            <v>2.2690000000000001</v>
          </cell>
          <cell r="P146">
            <v>2.2690000000000001</v>
          </cell>
          <cell r="Q146">
            <v>2.2690000000000001</v>
          </cell>
          <cell r="R146">
            <v>2.2690000000000001</v>
          </cell>
          <cell r="S146">
            <v>2.2690000000000001</v>
          </cell>
          <cell r="T146">
            <v>2.2690000000000001</v>
          </cell>
          <cell r="U146">
            <v>2.2690000000000001</v>
          </cell>
          <cell r="V146">
            <v>2.2690000000000001</v>
          </cell>
          <cell r="W146">
            <v>2.2690000000000001</v>
          </cell>
          <cell r="X146">
            <v>2.2690000000000001</v>
          </cell>
          <cell r="Y146">
            <v>2.2690000000000001</v>
          </cell>
          <cell r="Z146">
            <v>2.2690000000000001</v>
          </cell>
          <cell r="AA146">
            <v>2.2690000000000001</v>
          </cell>
          <cell r="AB146">
            <v>2.2690000000000001</v>
          </cell>
          <cell r="AC146">
            <v>2.2690000000000001</v>
          </cell>
          <cell r="AD146">
            <v>2.2690000000000001</v>
          </cell>
          <cell r="AE146">
            <v>2.2690000000000001</v>
          </cell>
          <cell r="AF146">
            <v>2.9321667648000001E-4</v>
          </cell>
          <cell r="AG146">
            <v>2.9321667648000001E-4</v>
          </cell>
          <cell r="AH146">
            <v>2.9321667648000001E-4</v>
          </cell>
          <cell r="AI146">
            <v>2.9321667648000001E-4</v>
          </cell>
          <cell r="AJ146">
            <v>2.9321667648000001E-4</v>
          </cell>
          <cell r="AK146">
            <v>2.9321667648000001E-4</v>
          </cell>
          <cell r="AL146">
            <v>2.9321667648000001E-4</v>
          </cell>
          <cell r="AM146">
            <v>2.9321667648000001E-4</v>
          </cell>
          <cell r="AN146">
            <v>2.9321667648000001E-4</v>
          </cell>
          <cell r="AO146">
            <v>2.9321667648000001E-4</v>
          </cell>
          <cell r="AP146">
            <v>2.9321667648000001E-4</v>
          </cell>
          <cell r="AQ146">
            <v>2.9321667648000001E-4</v>
          </cell>
          <cell r="AR146">
            <v>2.9321667648000001E-4</v>
          </cell>
          <cell r="AS146">
            <v>2.9321667648000001E-4</v>
          </cell>
          <cell r="AT146">
            <v>2.9321667648000001E-4</v>
          </cell>
          <cell r="AU146">
            <v>2.9321667648000001E-4</v>
          </cell>
          <cell r="AV146">
            <v>2.9321667648000001E-4</v>
          </cell>
          <cell r="AW146">
            <v>2.9321667648000001E-4</v>
          </cell>
          <cell r="AX146">
            <v>2.9321667648000001E-4</v>
          </cell>
          <cell r="AY146">
            <v>2.9321667648000001E-4</v>
          </cell>
          <cell r="AZ146">
            <v>2.9321667648000001E-4</v>
          </cell>
          <cell r="BA146">
            <v>2.9321667648000001E-4</v>
          </cell>
          <cell r="BB146">
            <v>2.9321667648000001E-4</v>
          </cell>
          <cell r="BC146">
            <v>6.3798793344000006E-5</v>
          </cell>
          <cell r="BD146">
            <v>6.3798793344000006E-5</v>
          </cell>
          <cell r="BE146">
            <v>6.3798793344000006E-5</v>
          </cell>
          <cell r="BF146">
            <v>6.3798793344000006E-5</v>
          </cell>
          <cell r="BG146">
            <v>6.3798793344000006E-5</v>
          </cell>
          <cell r="BH146">
            <v>6.3798793344000006E-5</v>
          </cell>
          <cell r="BI146">
            <v>6.3798793344000006E-5</v>
          </cell>
          <cell r="BJ146">
            <v>6.3798793344000006E-5</v>
          </cell>
          <cell r="BK146">
            <v>6.3798793344000006E-5</v>
          </cell>
          <cell r="BL146">
            <v>6.3798793344000006E-5</v>
          </cell>
          <cell r="BM146">
            <v>6.3798793344000006E-5</v>
          </cell>
          <cell r="BN146">
            <v>6.3798793344000006E-5</v>
          </cell>
          <cell r="BO146">
            <v>6.3798793344000006E-5</v>
          </cell>
          <cell r="BP146">
            <v>6.3798793344000006E-5</v>
          </cell>
          <cell r="BQ146">
            <v>6.3798793344000006E-5</v>
          </cell>
          <cell r="BR146">
            <v>6.3798793344000006E-5</v>
          </cell>
          <cell r="BS146">
            <v>6.3798793344000006E-5</v>
          </cell>
          <cell r="BT146">
            <v>6.3798793344000006E-5</v>
          </cell>
          <cell r="BU146">
            <v>6.3798793344000006E-5</v>
          </cell>
          <cell r="BV146">
            <v>6.3798793344000006E-5</v>
          </cell>
          <cell r="BW146">
            <v>6.3798793344000006E-5</v>
          </cell>
          <cell r="BX146">
            <v>6.3798793344000006E-5</v>
          </cell>
          <cell r="BY146">
            <v>6.3798793344000006E-5</v>
          </cell>
        </row>
        <row r="147">
          <cell r="H147" t="str">
            <v>Caminhão médio a gasolina</v>
          </cell>
          <cell r="I147">
            <v>2.2690000000000001</v>
          </cell>
          <cell r="J147">
            <v>2.2690000000000001</v>
          </cell>
          <cell r="K147">
            <v>2.2690000000000001</v>
          </cell>
          <cell r="L147">
            <v>2.2690000000000001</v>
          </cell>
          <cell r="M147">
            <v>2.2690000000000001</v>
          </cell>
          <cell r="N147">
            <v>2.2690000000000001</v>
          </cell>
          <cell r="O147">
            <v>2.2690000000000001</v>
          </cell>
          <cell r="P147">
            <v>2.2690000000000001</v>
          </cell>
          <cell r="Q147">
            <v>2.2690000000000001</v>
          </cell>
          <cell r="R147">
            <v>2.2690000000000001</v>
          </cell>
          <cell r="S147">
            <v>2.2690000000000001</v>
          </cell>
          <cell r="T147">
            <v>2.2690000000000001</v>
          </cell>
          <cell r="U147">
            <v>2.2690000000000001</v>
          </cell>
          <cell r="V147">
            <v>2.2690000000000001</v>
          </cell>
          <cell r="W147">
            <v>2.2690000000000001</v>
          </cell>
          <cell r="X147">
            <v>2.2690000000000001</v>
          </cell>
          <cell r="Y147">
            <v>2.2690000000000001</v>
          </cell>
          <cell r="Z147">
            <v>2.2690000000000001</v>
          </cell>
          <cell r="AA147">
            <v>2.2690000000000001</v>
          </cell>
          <cell r="AB147">
            <v>2.2690000000000001</v>
          </cell>
          <cell r="AC147">
            <v>2.2690000000000001</v>
          </cell>
          <cell r="AD147">
            <v>2.2690000000000001</v>
          </cell>
          <cell r="AE147">
            <v>2.2690000000000001</v>
          </cell>
          <cell r="AF147">
            <v>2.9321667648000001E-4</v>
          </cell>
          <cell r="AG147">
            <v>2.9321667648000001E-4</v>
          </cell>
          <cell r="AH147">
            <v>2.9321667648000001E-4</v>
          </cell>
          <cell r="AI147">
            <v>2.9321667648000001E-4</v>
          </cell>
          <cell r="AJ147">
            <v>2.9321667648000001E-4</v>
          </cell>
          <cell r="AK147">
            <v>2.9321667648000001E-4</v>
          </cell>
          <cell r="AL147">
            <v>2.9321667648000001E-4</v>
          </cell>
          <cell r="AM147">
            <v>2.9321667648000001E-4</v>
          </cell>
          <cell r="AN147">
            <v>2.9321667648000001E-4</v>
          </cell>
          <cell r="AO147">
            <v>2.9321667648000001E-4</v>
          </cell>
          <cell r="AP147">
            <v>2.9321667648000001E-4</v>
          </cell>
          <cell r="AQ147">
            <v>2.9321667648000001E-4</v>
          </cell>
          <cell r="AR147">
            <v>2.9321667648000001E-4</v>
          </cell>
          <cell r="AS147">
            <v>2.9321667648000001E-4</v>
          </cell>
          <cell r="AT147">
            <v>2.9321667648000001E-4</v>
          </cell>
          <cell r="AU147">
            <v>2.9321667648000001E-4</v>
          </cell>
          <cell r="AV147">
            <v>2.9321667648000001E-4</v>
          </cell>
          <cell r="AW147">
            <v>2.9321667648000001E-4</v>
          </cell>
          <cell r="AX147">
            <v>2.9321667648000001E-4</v>
          </cell>
          <cell r="AY147">
            <v>2.9321667648000001E-4</v>
          </cell>
          <cell r="AZ147">
            <v>2.9321667648000001E-4</v>
          </cell>
          <cell r="BA147">
            <v>2.9321667648000001E-4</v>
          </cell>
          <cell r="BB147">
            <v>2.9321667648000001E-4</v>
          </cell>
          <cell r="BC147">
            <v>6.3798793344000006E-5</v>
          </cell>
          <cell r="BD147">
            <v>6.3798793344000006E-5</v>
          </cell>
          <cell r="BE147">
            <v>6.3798793344000006E-5</v>
          </cell>
          <cell r="BF147">
            <v>6.3798793344000006E-5</v>
          </cell>
          <cell r="BG147">
            <v>6.3798793344000006E-5</v>
          </cell>
          <cell r="BH147">
            <v>6.3798793344000006E-5</v>
          </cell>
          <cell r="BI147">
            <v>6.3798793344000006E-5</v>
          </cell>
          <cell r="BJ147">
            <v>6.3798793344000006E-5</v>
          </cell>
          <cell r="BK147">
            <v>6.3798793344000006E-5</v>
          </cell>
          <cell r="BL147">
            <v>6.3798793344000006E-5</v>
          </cell>
          <cell r="BM147">
            <v>6.3798793344000006E-5</v>
          </cell>
          <cell r="BN147">
            <v>6.3798793344000006E-5</v>
          </cell>
          <cell r="BO147">
            <v>6.3798793344000006E-5</v>
          </cell>
          <cell r="BP147">
            <v>6.3798793344000006E-5</v>
          </cell>
          <cell r="BQ147">
            <v>6.3798793344000006E-5</v>
          </cell>
          <cell r="BR147">
            <v>6.3798793344000006E-5</v>
          </cell>
          <cell r="BS147">
            <v>6.3798793344000006E-5</v>
          </cell>
          <cell r="BT147">
            <v>6.3798793344000006E-5</v>
          </cell>
          <cell r="BU147">
            <v>6.3798793344000006E-5</v>
          </cell>
          <cell r="BV147">
            <v>6.3798793344000006E-5</v>
          </cell>
          <cell r="BW147">
            <v>6.3798793344000006E-5</v>
          </cell>
          <cell r="BX147">
            <v>6.3798793344000006E-5</v>
          </cell>
          <cell r="BY147">
            <v>6.3798793344000006E-5</v>
          </cell>
        </row>
        <row r="148">
          <cell r="H148" t="str">
            <v>Caminhão pesado a gasolina</v>
          </cell>
          <cell r="I148">
            <v>2.2690000000000001</v>
          </cell>
          <cell r="J148">
            <v>2.2690000000000001</v>
          </cell>
          <cell r="K148">
            <v>2.2690000000000001</v>
          </cell>
          <cell r="L148">
            <v>2.2690000000000001</v>
          </cell>
          <cell r="M148">
            <v>2.2690000000000001</v>
          </cell>
          <cell r="N148">
            <v>2.2690000000000001</v>
          </cell>
          <cell r="O148">
            <v>2.2690000000000001</v>
          </cell>
          <cell r="P148">
            <v>2.2690000000000001</v>
          </cell>
          <cell r="Q148">
            <v>2.2690000000000001</v>
          </cell>
          <cell r="R148">
            <v>2.2690000000000001</v>
          </cell>
          <cell r="S148">
            <v>2.2690000000000001</v>
          </cell>
          <cell r="T148">
            <v>2.2690000000000001</v>
          </cell>
          <cell r="U148">
            <v>2.2690000000000001</v>
          </cell>
          <cell r="V148">
            <v>2.2690000000000001</v>
          </cell>
          <cell r="W148">
            <v>2.2690000000000001</v>
          </cell>
          <cell r="X148">
            <v>2.2690000000000001</v>
          </cell>
          <cell r="Y148">
            <v>2.2690000000000001</v>
          </cell>
          <cell r="Z148">
            <v>2.2690000000000001</v>
          </cell>
          <cell r="AA148">
            <v>2.2690000000000001</v>
          </cell>
          <cell r="AB148">
            <v>2.2690000000000001</v>
          </cell>
          <cell r="AC148">
            <v>2.2690000000000001</v>
          </cell>
          <cell r="AD148">
            <v>2.2690000000000001</v>
          </cell>
          <cell r="AE148">
            <v>2.2690000000000001</v>
          </cell>
          <cell r="AF148">
            <v>2.9321667648000001E-4</v>
          </cell>
          <cell r="AG148">
            <v>2.9321667648000001E-4</v>
          </cell>
          <cell r="AH148">
            <v>2.9321667648000001E-4</v>
          </cell>
          <cell r="AI148">
            <v>2.9321667648000001E-4</v>
          </cell>
          <cell r="AJ148">
            <v>2.9321667648000001E-4</v>
          </cell>
          <cell r="AK148">
            <v>2.9321667648000001E-4</v>
          </cell>
          <cell r="AL148">
            <v>2.9321667648000001E-4</v>
          </cell>
          <cell r="AM148">
            <v>2.9321667648000001E-4</v>
          </cell>
          <cell r="AN148">
            <v>2.9321667648000001E-4</v>
          </cell>
          <cell r="AO148">
            <v>2.9321667648000001E-4</v>
          </cell>
          <cell r="AP148">
            <v>2.9321667648000001E-4</v>
          </cell>
          <cell r="AQ148">
            <v>2.9321667648000001E-4</v>
          </cell>
          <cell r="AR148">
            <v>2.9321667648000001E-4</v>
          </cell>
          <cell r="AS148">
            <v>2.9321667648000001E-4</v>
          </cell>
          <cell r="AT148">
            <v>2.9321667648000001E-4</v>
          </cell>
          <cell r="AU148">
            <v>2.9321667648000001E-4</v>
          </cell>
          <cell r="AV148">
            <v>2.9321667648000001E-4</v>
          </cell>
          <cell r="AW148">
            <v>2.9321667648000001E-4</v>
          </cell>
          <cell r="AX148">
            <v>2.9321667648000001E-4</v>
          </cell>
          <cell r="AY148">
            <v>2.9321667648000001E-4</v>
          </cell>
          <cell r="AZ148">
            <v>2.9321667648000001E-4</v>
          </cell>
          <cell r="BA148">
            <v>2.9321667648000001E-4</v>
          </cell>
          <cell r="BB148">
            <v>2.9321667648000001E-4</v>
          </cell>
          <cell r="BC148">
            <v>6.3798793344000006E-5</v>
          </cell>
          <cell r="BD148">
            <v>6.3798793344000006E-5</v>
          </cell>
          <cell r="BE148">
            <v>6.3798793344000006E-5</v>
          </cell>
          <cell r="BF148">
            <v>6.3798793344000006E-5</v>
          </cell>
          <cell r="BG148">
            <v>6.3798793344000006E-5</v>
          </cell>
          <cell r="BH148">
            <v>6.3798793344000006E-5</v>
          </cell>
          <cell r="BI148">
            <v>6.3798793344000006E-5</v>
          </cell>
          <cell r="BJ148">
            <v>6.3798793344000006E-5</v>
          </cell>
          <cell r="BK148">
            <v>6.3798793344000006E-5</v>
          </cell>
          <cell r="BL148">
            <v>6.3798793344000006E-5</v>
          </cell>
          <cell r="BM148">
            <v>6.3798793344000006E-5</v>
          </cell>
          <cell r="BN148">
            <v>6.3798793344000006E-5</v>
          </cell>
          <cell r="BO148">
            <v>6.3798793344000006E-5</v>
          </cell>
          <cell r="BP148">
            <v>6.3798793344000006E-5</v>
          </cell>
          <cell r="BQ148">
            <v>6.3798793344000006E-5</v>
          </cell>
          <cell r="BR148">
            <v>6.3798793344000006E-5</v>
          </cell>
          <cell r="BS148">
            <v>6.3798793344000006E-5</v>
          </cell>
          <cell r="BT148">
            <v>6.3798793344000006E-5</v>
          </cell>
          <cell r="BU148">
            <v>6.3798793344000006E-5</v>
          </cell>
          <cell r="BV148">
            <v>6.3798793344000006E-5</v>
          </cell>
          <cell r="BW148">
            <v>6.3798793344000006E-5</v>
          </cell>
          <cell r="BX148">
            <v>6.3798793344000006E-5</v>
          </cell>
          <cell r="BY148">
            <v>6.3798793344000006E-5</v>
          </cell>
        </row>
        <row r="149">
          <cell r="H149" t="str">
            <v>Veículo de passeio a Diesel</v>
          </cell>
          <cell r="I149">
            <v>2.6709999999999998</v>
          </cell>
          <cell r="J149">
            <v>2.6709999999999998</v>
          </cell>
          <cell r="K149">
            <v>2.6709999999999998</v>
          </cell>
          <cell r="L149">
            <v>2.6709999999999998</v>
          </cell>
          <cell r="M149">
            <v>2.6709999999999998</v>
          </cell>
          <cell r="N149">
            <v>2.6709999999999998</v>
          </cell>
          <cell r="O149">
            <v>2.6709999999999998</v>
          </cell>
          <cell r="P149">
            <v>2.6709999999999998</v>
          </cell>
          <cell r="Q149">
            <v>2.6709999999999998</v>
          </cell>
          <cell r="R149">
            <v>2.6709999999999998</v>
          </cell>
          <cell r="S149">
            <v>2.6709999999999998</v>
          </cell>
          <cell r="T149">
            <v>2.6709999999999998</v>
          </cell>
          <cell r="U149">
            <v>2.6709999999999998</v>
          </cell>
          <cell r="V149">
            <v>2.6709999999999998</v>
          </cell>
          <cell r="W149">
            <v>2.6709999999999998</v>
          </cell>
          <cell r="X149">
            <v>2.6709999999999998</v>
          </cell>
          <cell r="Y149">
            <v>2.6709999999999998</v>
          </cell>
          <cell r="Z149">
            <v>2.6709999999999998</v>
          </cell>
          <cell r="AA149">
            <v>2.6709999999999998</v>
          </cell>
          <cell r="AB149">
            <v>2.6709999999999998</v>
          </cell>
          <cell r="AC149">
            <v>2.6709999999999998</v>
          </cell>
          <cell r="AD149">
            <v>2.6709999999999998</v>
          </cell>
          <cell r="AE149">
            <v>2.6709999999999998</v>
          </cell>
          <cell r="AF149">
            <v>2.9127065184000005E-4</v>
          </cell>
          <cell r="AG149">
            <v>2.9127065184000005E-4</v>
          </cell>
          <cell r="AH149">
            <v>2.9127065184000005E-4</v>
          </cell>
          <cell r="AI149">
            <v>2.9127065184000005E-4</v>
          </cell>
          <cell r="AJ149">
            <v>2.9127065184000005E-4</v>
          </cell>
          <cell r="AK149">
            <v>2.9127065184000005E-4</v>
          </cell>
          <cell r="AL149">
            <v>2.9127065184000005E-4</v>
          </cell>
          <cell r="AM149">
            <v>2.9127065184000005E-4</v>
          </cell>
          <cell r="AN149">
            <v>2.9127065184000005E-4</v>
          </cell>
          <cell r="AO149">
            <v>2.9127065184000005E-4</v>
          </cell>
          <cell r="AP149">
            <v>2.9127065184000005E-4</v>
          </cell>
          <cell r="AQ149">
            <v>2.9127065184000005E-4</v>
          </cell>
          <cell r="AR149">
            <v>2.9127065184000005E-4</v>
          </cell>
          <cell r="AS149">
            <v>2.9127065184000005E-4</v>
          </cell>
          <cell r="AT149">
            <v>2.9127065184000005E-4</v>
          </cell>
          <cell r="AU149">
            <v>2.9127065184000005E-4</v>
          </cell>
          <cell r="AV149">
            <v>2.9127065184000005E-4</v>
          </cell>
          <cell r="AW149">
            <v>2.9127065184000005E-4</v>
          </cell>
          <cell r="AX149">
            <v>2.9127065184000005E-4</v>
          </cell>
          <cell r="AY149">
            <v>2.9127065184000005E-4</v>
          </cell>
          <cell r="AZ149">
            <v>2.9127065184000005E-4</v>
          </cell>
          <cell r="BA149">
            <v>2.9127065184000005E-4</v>
          </cell>
          <cell r="BB149">
            <v>2.9127065184000005E-4</v>
          </cell>
          <cell r="BC149">
            <v>2.1312486719999999E-5</v>
          </cell>
          <cell r="BD149">
            <v>2.1312486719999999E-5</v>
          </cell>
          <cell r="BE149">
            <v>2.1312486719999999E-5</v>
          </cell>
          <cell r="BF149">
            <v>2.1312486719999999E-5</v>
          </cell>
          <cell r="BG149">
            <v>2.1312486719999999E-5</v>
          </cell>
          <cell r="BH149">
            <v>2.1312486719999999E-5</v>
          </cell>
          <cell r="BI149">
            <v>2.1312486719999999E-5</v>
          </cell>
          <cell r="BJ149">
            <v>2.1312486719999999E-5</v>
          </cell>
          <cell r="BK149">
            <v>2.1312486719999999E-5</v>
          </cell>
          <cell r="BL149">
            <v>2.1312486719999999E-5</v>
          </cell>
          <cell r="BM149">
            <v>2.1312486719999999E-5</v>
          </cell>
          <cell r="BN149">
            <v>2.1312486719999999E-5</v>
          </cell>
          <cell r="BO149">
            <v>2.1312486719999999E-5</v>
          </cell>
          <cell r="BP149">
            <v>2.1312486719999999E-5</v>
          </cell>
          <cell r="BQ149">
            <v>2.1312486719999999E-5</v>
          </cell>
          <cell r="BR149">
            <v>2.1312486719999999E-5</v>
          </cell>
          <cell r="BS149">
            <v>2.1312486719999999E-5</v>
          </cell>
          <cell r="BT149">
            <v>2.1312486719999999E-5</v>
          </cell>
          <cell r="BU149">
            <v>2.1312486719999999E-5</v>
          </cell>
          <cell r="BV149">
            <v>2.1312486719999999E-5</v>
          </cell>
          <cell r="BW149">
            <v>2.1312486719999999E-5</v>
          </cell>
          <cell r="BX149">
            <v>2.1312486719999999E-5</v>
          </cell>
          <cell r="BY149">
            <v>2.1312486719999999E-5</v>
          </cell>
        </row>
        <row r="150">
          <cell r="H150" t="str">
            <v>Veículo comercial leve a Diesel</v>
          </cell>
          <cell r="I150">
            <v>2.6709999999999998</v>
          </cell>
          <cell r="J150">
            <v>2.6709999999999998</v>
          </cell>
          <cell r="K150">
            <v>2.6709999999999998</v>
          </cell>
          <cell r="L150">
            <v>2.6709999999999998</v>
          </cell>
          <cell r="M150">
            <v>2.6709999999999998</v>
          </cell>
          <cell r="N150">
            <v>2.6709999999999998</v>
          </cell>
          <cell r="O150">
            <v>2.6709999999999998</v>
          </cell>
          <cell r="P150">
            <v>2.6709999999999998</v>
          </cell>
          <cell r="Q150">
            <v>2.6709999999999998</v>
          </cell>
          <cell r="R150">
            <v>2.6709999999999998</v>
          </cell>
          <cell r="S150">
            <v>2.6709999999999998</v>
          </cell>
          <cell r="T150">
            <v>2.6709999999999998</v>
          </cell>
          <cell r="U150">
            <v>2.6709999999999998</v>
          </cell>
          <cell r="V150">
            <v>2.6709999999999998</v>
          </cell>
          <cell r="W150">
            <v>2.6709999999999998</v>
          </cell>
          <cell r="X150">
            <v>2.6709999999999998</v>
          </cell>
          <cell r="Y150">
            <v>2.6709999999999998</v>
          </cell>
          <cell r="Z150">
            <v>2.6709999999999998</v>
          </cell>
          <cell r="AA150">
            <v>2.6709999999999998</v>
          </cell>
          <cell r="AB150">
            <v>2.6709999999999998</v>
          </cell>
          <cell r="AC150">
            <v>2.6709999999999998</v>
          </cell>
          <cell r="AD150">
            <v>2.6709999999999998</v>
          </cell>
          <cell r="AE150">
            <v>2.6709999999999998</v>
          </cell>
          <cell r="AF150">
            <v>2.9127065184000005E-4</v>
          </cell>
          <cell r="AG150">
            <v>2.9127065184000005E-4</v>
          </cell>
          <cell r="AH150">
            <v>2.9127065184000005E-4</v>
          </cell>
          <cell r="AI150">
            <v>2.9127065184000005E-4</v>
          </cell>
          <cell r="AJ150">
            <v>2.9127065184000005E-4</v>
          </cell>
          <cell r="AK150">
            <v>2.9127065184000005E-4</v>
          </cell>
          <cell r="AL150">
            <v>2.841664896E-4</v>
          </cell>
          <cell r="AM150">
            <v>2.6995816512000002E-4</v>
          </cell>
          <cell r="AN150">
            <v>2.5574984063999999E-4</v>
          </cell>
          <cell r="AO150">
            <v>2.4154151616000001E-4</v>
          </cell>
          <cell r="AP150">
            <v>2.3088527280000002E-4</v>
          </cell>
          <cell r="AQ150">
            <v>2.2022902944000001E-4</v>
          </cell>
          <cell r="AR150">
            <v>2.1312486720000002E-4</v>
          </cell>
          <cell r="AS150">
            <v>2.0602070496E-4</v>
          </cell>
          <cell r="AT150">
            <v>2.0246862384E-4</v>
          </cell>
          <cell r="AU150">
            <v>1.9536446159999999E-4</v>
          </cell>
          <cell r="AV150">
            <v>1.9536446159999999E-4</v>
          </cell>
          <cell r="AW150">
            <v>1.9536446159999999E-4</v>
          </cell>
          <cell r="AX150">
            <v>1.9536446159999999E-4</v>
          </cell>
          <cell r="AY150">
            <v>1.9536446159999999E-4</v>
          </cell>
          <cell r="AZ150">
            <v>1.9536446159999999E-4</v>
          </cell>
          <cell r="BA150">
            <v>1.9536446159999999E-4</v>
          </cell>
          <cell r="BB150">
            <v>1.9536446159999999E-4</v>
          </cell>
          <cell r="BC150">
            <v>2.1312486719999999E-5</v>
          </cell>
          <cell r="BD150">
            <v>2.1312486719999999E-5</v>
          </cell>
          <cell r="BE150">
            <v>2.1312486719999999E-5</v>
          </cell>
          <cell r="BF150">
            <v>2.1312486719999999E-5</v>
          </cell>
          <cell r="BG150">
            <v>2.1312486719999999E-5</v>
          </cell>
          <cell r="BH150">
            <v>2.1312486719999999E-5</v>
          </cell>
          <cell r="BI150">
            <v>2.1312486719999999E-5</v>
          </cell>
          <cell r="BJ150">
            <v>2.1312486719999999E-5</v>
          </cell>
          <cell r="BK150">
            <v>2.1312486719999999E-5</v>
          </cell>
          <cell r="BL150">
            <v>2.1312486719999999E-5</v>
          </cell>
          <cell r="BM150">
            <v>2.1312486719999999E-5</v>
          </cell>
          <cell r="BN150">
            <v>2.1312486719999999E-5</v>
          </cell>
          <cell r="BO150">
            <v>2.1312486719999999E-5</v>
          </cell>
          <cell r="BP150">
            <v>2.1312486719999999E-5</v>
          </cell>
          <cell r="BQ150">
            <v>2.1312486719999999E-5</v>
          </cell>
          <cell r="BR150">
            <v>2.1312486719999999E-5</v>
          </cell>
          <cell r="BS150">
            <v>2.1312486719999999E-5</v>
          </cell>
          <cell r="BT150">
            <v>2.1312486719999999E-5</v>
          </cell>
          <cell r="BU150">
            <v>2.1312486719999999E-5</v>
          </cell>
          <cell r="BV150">
            <v>2.1312486719999999E-5</v>
          </cell>
          <cell r="BW150">
            <v>2.1312486719999999E-5</v>
          </cell>
          <cell r="BX150">
            <v>2.1312486719999999E-5</v>
          </cell>
          <cell r="BY150">
            <v>2.1312486719999999E-5</v>
          </cell>
        </row>
        <row r="151">
          <cell r="H151" t="str">
            <v>Ônibus rodoviário a Diesel</v>
          </cell>
          <cell r="I151">
            <v>2.6709999999999998</v>
          </cell>
          <cell r="J151">
            <v>2.6709999999999998</v>
          </cell>
          <cell r="K151">
            <v>2.6709999999999998</v>
          </cell>
          <cell r="L151">
            <v>2.6709999999999998</v>
          </cell>
          <cell r="M151">
            <v>2.6709999999999998</v>
          </cell>
          <cell r="N151">
            <v>2.6709999999999998</v>
          </cell>
          <cell r="O151">
            <v>2.6709999999999998</v>
          </cell>
          <cell r="P151">
            <v>2.6709999999999998</v>
          </cell>
          <cell r="Q151">
            <v>2.6709999999999998</v>
          </cell>
          <cell r="R151">
            <v>2.6709999999999998</v>
          </cell>
          <cell r="S151">
            <v>2.6709999999999998</v>
          </cell>
          <cell r="T151">
            <v>2.6709999999999998</v>
          </cell>
          <cell r="U151">
            <v>2.6709999999999998</v>
          </cell>
          <cell r="V151">
            <v>2.6709999999999998</v>
          </cell>
          <cell r="W151">
            <v>2.6709999999999998</v>
          </cell>
          <cell r="X151">
            <v>2.6709999999999998</v>
          </cell>
          <cell r="Y151">
            <v>2.6709999999999998</v>
          </cell>
          <cell r="Z151">
            <v>2.6709999999999998</v>
          </cell>
          <cell r="AA151">
            <v>2.6709999999999998</v>
          </cell>
          <cell r="AB151">
            <v>2.6709999999999998</v>
          </cell>
          <cell r="AC151">
            <v>2.6709999999999998</v>
          </cell>
          <cell r="AD151">
            <v>2.6709999999999998</v>
          </cell>
          <cell r="AE151">
            <v>2.6709999999999998</v>
          </cell>
          <cell r="AF151">
            <v>2.9127065184000005E-4</v>
          </cell>
          <cell r="AG151">
            <v>2.9127065184000005E-4</v>
          </cell>
          <cell r="AH151">
            <v>2.9127065184000005E-4</v>
          </cell>
          <cell r="AI151">
            <v>2.9127065184000005E-4</v>
          </cell>
          <cell r="AJ151">
            <v>2.9127065184000005E-4</v>
          </cell>
          <cell r="AK151">
            <v>2.9127065184000005E-4</v>
          </cell>
          <cell r="AL151">
            <v>2.841664896E-4</v>
          </cell>
          <cell r="AM151">
            <v>2.7706232736000001E-4</v>
          </cell>
          <cell r="AN151">
            <v>2.66406084E-4</v>
          </cell>
          <cell r="AO151">
            <v>2.5930192176000001E-4</v>
          </cell>
          <cell r="AP151">
            <v>2.5219775951999996E-4</v>
          </cell>
          <cell r="AQ151">
            <v>2.4154151616000001E-4</v>
          </cell>
          <cell r="AR151">
            <v>2.3443735392000002E-4</v>
          </cell>
          <cell r="AS151">
            <v>2.2733319168E-4</v>
          </cell>
          <cell r="AT151">
            <v>2.2022902944000001E-4</v>
          </cell>
          <cell r="AU151">
            <v>2.1667694832000001E-4</v>
          </cell>
          <cell r="AV151">
            <v>2.1667694832000001E-4</v>
          </cell>
          <cell r="AW151">
            <v>2.1667694832000001E-4</v>
          </cell>
          <cell r="AX151">
            <v>2.1667694832000001E-4</v>
          </cell>
          <cell r="AY151">
            <v>2.1667694832000001E-4</v>
          </cell>
          <cell r="AZ151">
            <v>2.1667694832000001E-4</v>
          </cell>
          <cell r="BA151">
            <v>2.1667694832000001E-4</v>
          </cell>
          <cell r="BB151">
            <v>2.1667694832000001E-4</v>
          </cell>
          <cell r="BC151">
            <v>2.1312486719999999E-5</v>
          </cell>
          <cell r="BD151">
            <v>2.1312486719999999E-5</v>
          </cell>
          <cell r="BE151">
            <v>2.1312486719999999E-5</v>
          </cell>
          <cell r="BF151">
            <v>2.1312486719999999E-5</v>
          </cell>
          <cell r="BG151">
            <v>2.1312486719999999E-5</v>
          </cell>
          <cell r="BH151">
            <v>2.1312486719999999E-5</v>
          </cell>
          <cell r="BI151">
            <v>2.1312486719999999E-5</v>
          </cell>
          <cell r="BJ151">
            <v>2.1312486719999999E-5</v>
          </cell>
          <cell r="BK151">
            <v>2.1312486719999999E-5</v>
          </cell>
          <cell r="BL151">
            <v>2.1312486719999999E-5</v>
          </cell>
          <cell r="BM151">
            <v>2.1312486719999999E-5</v>
          </cell>
          <cell r="BN151">
            <v>2.1312486719999999E-5</v>
          </cell>
          <cell r="BO151">
            <v>2.1312486719999999E-5</v>
          </cell>
          <cell r="BP151">
            <v>2.1312486719999999E-5</v>
          </cell>
          <cell r="BQ151">
            <v>2.1312486719999999E-5</v>
          </cell>
          <cell r="BR151">
            <v>2.1312486719999999E-5</v>
          </cell>
          <cell r="BS151">
            <v>2.1312486719999999E-5</v>
          </cell>
          <cell r="BT151">
            <v>2.1312486719999999E-5</v>
          </cell>
          <cell r="BU151">
            <v>2.1312486719999999E-5</v>
          </cell>
          <cell r="BV151">
            <v>2.1312486719999999E-5</v>
          </cell>
          <cell r="BW151">
            <v>2.1312486719999999E-5</v>
          </cell>
          <cell r="BX151">
            <v>2.1312486719999999E-5</v>
          </cell>
          <cell r="BY151">
            <v>2.1312486719999999E-5</v>
          </cell>
        </row>
        <row r="152">
          <cell r="H152" t="str">
            <v>Ônibus urbano a Diesel</v>
          </cell>
          <cell r="I152">
            <v>2.6709999999999998</v>
          </cell>
          <cell r="J152">
            <v>2.6709999999999998</v>
          </cell>
          <cell r="K152">
            <v>2.6709999999999998</v>
          </cell>
          <cell r="L152">
            <v>2.6709999999999998</v>
          </cell>
          <cell r="M152">
            <v>2.6709999999999998</v>
          </cell>
          <cell r="N152">
            <v>2.6709999999999998</v>
          </cell>
          <cell r="O152">
            <v>2.6709999999999998</v>
          </cell>
          <cell r="P152">
            <v>2.6709999999999998</v>
          </cell>
          <cell r="Q152">
            <v>2.6709999999999998</v>
          </cell>
          <cell r="R152">
            <v>2.6709999999999998</v>
          </cell>
          <cell r="S152">
            <v>2.6709999999999998</v>
          </cell>
          <cell r="T152">
            <v>2.6709999999999998</v>
          </cell>
          <cell r="U152">
            <v>2.6709999999999998</v>
          </cell>
          <cell r="V152">
            <v>2.6709999999999998</v>
          </cell>
          <cell r="W152">
            <v>2.6709999999999998</v>
          </cell>
          <cell r="X152">
            <v>2.6709999999999998</v>
          </cell>
          <cell r="Y152">
            <v>2.6709999999999998</v>
          </cell>
          <cell r="Z152">
            <v>2.6709999999999998</v>
          </cell>
          <cell r="AA152">
            <v>2.6709999999999998</v>
          </cell>
          <cell r="AB152">
            <v>2.6709999999999998</v>
          </cell>
          <cell r="AC152">
            <v>2.6709999999999998</v>
          </cell>
          <cell r="AD152">
            <v>2.6709999999999998</v>
          </cell>
          <cell r="AE152">
            <v>2.6709999999999998</v>
          </cell>
          <cell r="AF152">
            <v>2.9127065184000005E-4</v>
          </cell>
          <cell r="AG152">
            <v>2.9127065184000005E-4</v>
          </cell>
          <cell r="AH152">
            <v>2.9127065184000005E-4</v>
          </cell>
          <cell r="AI152">
            <v>2.9127065184000005E-4</v>
          </cell>
          <cell r="AJ152">
            <v>2.9127065184000005E-4</v>
          </cell>
          <cell r="AK152">
            <v>2.9127065184000005E-4</v>
          </cell>
          <cell r="AL152">
            <v>2.841664896E-4</v>
          </cell>
          <cell r="AM152">
            <v>2.7706232736000001E-4</v>
          </cell>
          <cell r="AN152">
            <v>2.66406084E-4</v>
          </cell>
          <cell r="AO152">
            <v>2.5930192176000001E-4</v>
          </cell>
          <cell r="AP152">
            <v>2.5219775951999996E-4</v>
          </cell>
          <cell r="AQ152">
            <v>2.4154151616000001E-4</v>
          </cell>
          <cell r="AR152">
            <v>2.3443735392000002E-4</v>
          </cell>
          <cell r="AS152">
            <v>2.2733319168E-4</v>
          </cell>
          <cell r="AT152">
            <v>2.2022902944000001E-4</v>
          </cell>
          <cell r="AU152">
            <v>2.1667694832000001E-4</v>
          </cell>
          <cell r="AV152">
            <v>2.1667694832000001E-4</v>
          </cell>
          <cell r="AW152">
            <v>2.1667694832000001E-4</v>
          </cell>
          <cell r="AX152">
            <v>2.1667694832000001E-4</v>
          </cell>
          <cell r="AY152">
            <v>2.1667694832000001E-4</v>
          </cell>
          <cell r="AZ152">
            <v>2.1667694832000001E-4</v>
          </cell>
          <cell r="BA152">
            <v>2.1667694832000001E-4</v>
          </cell>
          <cell r="BB152">
            <v>2.1667694832000001E-4</v>
          </cell>
          <cell r="BC152">
            <v>2.1312486719999999E-5</v>
          </cell>
          <cell r="BD152">
            <v>2.1312486719999999E-5</v>
          </cell>
          <cell r="BE152">
            <v>2.1312486719999999E-5</v>
          </cell>
          <cell r="BF152">
            <v>2.1312486719999999E-5</v>
          </cell>
          <cell r="BG152">
            <v>2.1312486719999999E-5</v>
          </cell>
          <cell r="BH152">
            <v>2.1312486719999999E-5</v>
          </cell>
          <cell r="BI152">
            <v>2.1312486719999999E-5</v>
          </cell>
          <cell r="BJ152">
            <v>2.1312486719999999E-5</v>
          </cell>
          <cell r="BK152">
            <v>2.1312486719999999E-5</v>
          </cell>
          <cell r="BL152">
            <v>2.1312486719999999E-5</v>
          </cell>
          <cell r="BM152">
            <v>2.1312486719999999E-5</v>
          </cell>
          <cell r="BN152">
            <v>2.1312486719999999E-5</v>
          </cell>
          <cell r="BO152">
            <v>2.1312486719999999E-5</v>
          </cell>
          <cell r="BP152">
            <v>2.1312486719999999E-5</v>
          </cell>
          <cell r="BQ152">
            <v>2.1312486719999999E-5</v>
          </cell>
          <cell r="BR152">
            <v>2.1312486719999999E-5</v>
          </cell>
          <cell r="BS152">
            <v>2.1312486719999999E-5</v>
          </cell>
          <cell r="BT152">
            <v>2.1312486719999999E-5</v>
          </cell>
          <cell r="BU152">
            <v>2.1312486719999999E-5</v>
          </cell>
          <cell r="BV152">
            <v>2.1312486719999999E-5</v>
          </cell>
          <cell r="BW152">
            <v>2.1312486719999999E-5</v>
          </cell>
          <cell r="BX152">
            <v>2.1312486719999999E-5</v>
          </cell>
          <cell r="BY152">
            <v>2.1312486719999999E-5</v>
          </cell>
        </row>
        <row r="153">
          <cell r="H153" t="str">
            <v>Caminhão leve a Diesel</v>
          </cell>
          <cell r="I153">
            <v>2.6709999999999998</v>
          </cell>
          <cell r="J153">
            <v>2.6709999999999998</v>
          </cell>
          <cell r="K153">
            <v>2.6709999999999998</v>
          </cell>
          <cell r="L153">
            <v>2.6709999999999998</v>
          </cell>
          <cell r="M153">
            <v>2.6709999999999998</v>
          </cell>
          <cell r="N153">
            <v>2.6709999999999998</v>
          </cell>
          <cell r="O153">
            <v>2.6709999999999998</v>
          </cell>
          <cell r="P153">
            <v>2.6709999999999998</v>
          </cell>
          <cell r="Q153">
            <v>2.6709999999999998</v>
          </cell>
          <cell r="R153">
            <v>2.6709999999999998</v>
          </cell>
          <cell r="S153">
            <v>2.6709999999999998</v>
          </cell>
          <cell r="T153">
            <v>2.6709999999999998</v>
          </cell>
          <cell r="U153">
            <v>2.6709999999999998</v>
          </cell>
          <cell r="V153">
            <v>2.6709999999999998</v>
          </cell>
          <cell r="W153">
            <v>2.6709999999999998</v>
          </cell>
          <cell r="X153">
            <v>2.6709999999999998</v>
          </cell>
          <cell r="Y153">
            <v>2.6709999999999998</v>
          </cell>
          <cell r="Z153">
            <v>2.6709999999999998</v>
          </cell>
          <cell r="AA153">
            <v>2.6709999999999998</v>
          </cell>
          <cell r="AB153">
            <v>2.6709999999999998</v>
          </cell>
          <cell r="AC153">
            <v>2.6709999999999998</v>
          </cell>
          <cell r="AD153">
            <v>2.6709999999999998</v>
          </cell>
          <cell r="AE153">
            <v>2.6709999999999998</v>
          </cell>
          <cell r="AF153">
            <v>2.9127065184000005E-4</v>
          </cell>
          <cell r="AG153">
            <v>2.9127065184000005E-4</v>
          </cell>
          <cell r="AH153">
            <v>2.9127065184000005E-4</v>
          </cell>
          <cell r="AI153">
            <v>2.9127065184000005E-4</v>
          </cell>
          <cell r="AJ153">
            <v>2.9127065184000005E-4</v>
          </cell>
          <cell r="AK153">
            <v>2.9127065184000005E-4</v>
          </cell>
          <cell r="AL153">
            <v>2.8771857071999997E-4</v>
          </cell>
          <cell r="AM153">
            <v>2.8061440847999998E-4</v>
          </cell>
          <cell r="AN153">
            <v>2.7351024623999999E-4</v>
          </cell>
          <cell r="AO153">
            <v>2.6995816512000002E-4</v>
          </cell>
          <cell r="AP153">
            <v>2.6285400287999998E-4</v>
          </cell>
          <cell r="AQ153">
            <v>2.5219775951999996E-4</v>
          </cell>
          <cell r="AR153">
            <v>2.4509359728000003E-4</v>
          </cell>
          <cell r="AS153">
            <v>2.4154151616000001E-4</v>
          </cell>
          <cell r="AT153">
            <v>2.3443735392000002E-4</v>
          </cell>
          <cell r="AU153">
            <v>2.2733319168E-4</v>
          </cell>
          <cell r="AV153">
            <v>2.2733319168E-4</v>
          </cell>
          <cell r="AW153">
            <v>2.2733319168E-4</v>
          </cell>
          <cell r="AX153">
            <v>2.2733319168E-4</v>
          </cell>
          <cell r="AY153">
            <v>2.2733319168E-4</v>
          </cell>
          <cell r="AZ153">
            <v>2.2733319168E-4</v>
          </cell>
          <cell r="BA153">
            <v>2.2733319168E-4</v>
          </cell>
          <cell r="BB153">
            <v>2.2733319168E-4</v>
          </cell>
          <cell r="BC153">
            <v>2.1312486719999999E-5</v>
          </cell>
          <cell r="BD153">
            <v>2.1312486719999999E-5</v>
          </cell>
          <cell r="BE153">
            <v>2.1312486719999999E-5</v>
          </cell>
          <cell r="BF153">
            <v>2.1312486719999999E-5</v>
          </cell>
          <cell r="BG153">
            <v>2.1312486719999999E-5</v>
          </cell>
          <cell r="BH153">
            <v>2.1312486719999999E-5</v>
          </cell>
          <cell r="BI153">
            <v>2.1312486719999999E-5</v>
          </cell>
          <cell r="BJ153">
            <v>2.1312486719999999E-5</v>
          </cell>
          <cell r="BK153">
            <v>2.1312486719999999E-5</v>
          </cell>
          <cell r="BL153">
            <v>2.1312486719999999E-5</v>
          </cell>
          <cell r="BM153">
            <v>2.1312486719999999E-5</v>
          </cell>
          <cell r="BN153">
            <v>2.1312486719999999E-5</v>
          </cell>
          <cell r="BO153">
            <v>2.1312486719999999E-5</v>
          </cell>
          <cell r="BP153">
            <v>2.1312486719999999E-5</v>
          </cell>
          <cell r="BQ153">
            <v>2.1312486719999999E-5</v>
          </cell>
          <cell r="BR153">
            <v>2.1312486719999999E-5</v>
          </cell>
          <cell r="BS153">
            <v>2.1312486719999999E-5</v>
          </cell>
          <cell r="BT153">
            <v>2.1312486719999999E-5</v>
          </cell>
          <cell r="BU153">
            <v>2.1312486719999999E-5</v>
          </cell>
          <cell r="BV153">
            <v>2.1312486719999999E-5</v>
          </cell>
          <cell r="BW153">
            <v>2.1312486719999999E-5</v>
          </cell>
          <cell r="BX153">
            <v>2.1312486719999999E-5</v>
          </cell>
          <cell r="BY153">
            <v>2.1312486719999999E-5</v>
          </cell>
        </row>
        <row r="154">
          <cell r="H154" t="str">
            <v>Caminhão médio a Diesel</v>
          </cell>
          <cell r="I154">
            <v>2.6709999999999998</v>
          </cell>
          <cell r="J154">
            <v>2.6709999999999998</v>
          </cell>
          <cell r="K154">
            <v>2.6709999999999998</v>
          </cell>
          <cell r="L154">
            <v>2.6709999999999998</v>
          </cell>
          <cell r="M154">
            <v>2.6709999999999998</v>
          </cell>
          <cell r="N154">
            <v>2.6709999999999998</v>
          </cell>
          <cell r="O154">
            <v>2.6709999999999998</v>
          </cell>
          <cell r="P154">
            <v>2.6709999999999998</v>
          </cell>
          <cell r="Q154">
            <v>2.6709999999999998</v>
          </cell>
          <cell r="R154">
            <v>2.6709999999999998</v>
          </cell>
          <cell r="S154">
            <v>2.6709999999999998</v>
          </cell>
          <cell r="T154">
            <v>2.6709999999999998</v>
          </cell>
          <cell r="U154">
            <v>2.6709999999999998</v>
          </cell>
          <cell r="V154">
            <v>2.6709999999999998</v>
          </cell>
          <cell r="W154">
            <v>2.6709999999999998</v>
          </cell>
          <cell r="X154">
            <v>2.6709999999999998</v>
          </cell>
          <cell r="Y154">
            <v>2.6709999999999998</v>
          </cell>
          <cell r="Z154">
            <v>2.6709999999999998</v>
          </cell>
          <cell r="AA154">
            <v>2.6709999999999998</v>
          </cell>
          <cell r="AB154">
            <v>2.6709999999999998</v>
          </cell>
          <cell r="AC154">
            <v>2.6709999999999998</v>
          </cell>
          <cell r="AD154">
            <v>2.6709999999999998</v>
          </cell>
          <cell r="AE154">
            <v>2.6709999999999998</v>
          </cell>
          <cell r="AF154">
            <v>2.9127065184000005E-4</v>
          </cell>
          <cell r="AG154">
            <v>2.9127065184000005E-4</v>
          </cell>
          <cell r="AH154">
            <v>2.9127065184000005E-4</v>
          </cell>
          <cell r="AI154">
            <v>2.9127065184000005E-4</v>
          </cell>
          <cell r="AJ154">
            <v>2.9127065184000005E-4</v>
          </cell>
          <cell r="AK154">
            <v>2.9127065184000005E-4</v>
          </cell>
          <cell r="AL154">
            <v>2.8771857071999997E-4</v>
          </cell>
          <cell r="AM154">
            <v>2.8061440847999998E-4</v>
          </cell>
          <cell r="AN154">
            <v>2.7351024623999999E-4</v>
          </cell>
          <cell r="AO154">
            <v>2.6995816512000002E-4</v>
          </cell>
          <cell r="AP154">
            <v>2.6285400287999998E-4</v>
          </cell>
          <cell r="AQ154">
            <v>2.5219775951999996E-4</v>
          </cell>
          <cell r="AR154">
            <v>2.4509359728000003E-4</v>
          </cell>
          <cell r="AS154">
            <v>2.4154151616000001E-4</v>
          </cell>
          <cell r="AT154">
            <v>2.3443735392000002E-4</v>
          </cell>
          <cell r="AU154">
            <v>2.2733319168E-4</v>
          </cell>
          <cell r="AV154">
            <v>2.2733319168E-4</v>
          </cell>
          <cell r="AW154">
            <v>2.2733319168E-4</v>
          </cell>
          <cell r="AX154">
            <v>2.2733319168E-4</v>
          </cell>
          <cell r="AY154">
            <v>2.2733319168E-4</v>
          </cell>
          <cell r="AZ154">
            <v>2.2733319168E-4</v>
          </cell>
          <cell r="BA154">
            <v>2.2733319168E-4</v>
          </cell>
          <cell r="BB154">
            <v>2.2733319168E-4</v>
          </cell>
          <cell r="BC154">
            <v>2.1312486719999999E-5</v>
          </cell>
          <cell r="BD154">
            <v>2.1312486719999999E-5</v>
          </cell>
          <cell r="BE154">
            <v>2.1312486719999999E-5</v>
          </cell>
          <cell r="BF154">
            <v>2.1312486719999999E-5</v>
          </cell>
          <cell r="BG154">
            <v>2.1312486719999999E-5</v>
          </cell>
          <cell r="BH154">
            <v>2.1312486719999999E-5</v>
          </cell>
          <cell r="BI154">
            <v>2.1312486719999999E-5</v>
          </cell>
          <cell r="BJ154">
            <v>2.1312486719999999E-5</v>
          </cell>
          <cell r="BK154">
            <v>2.1312486719999999E-5</v>
          </cell>
          <cell r="BL154">
            <v>2.1312486719999999E-5</v>
          </cell>
          <cell r="BM154">
            <v>2.1312486719999999E-5</v>
          </cell>
          <cell r="BN154">
            <v>2.1312486719999999E-5</v>
          </cell>
          <cell r="BO154">
            <v>2.1312486719999999E-5</v>
          </cell>
          <cell r="BP154">
            <v>2.1312486719999999E-5</v>
          </cell>
          <cell r="BQ154">
            <v>2.1312486719999999E-5</v>
          </cell>
          <cell r="BR154">
            <v>2.1312486719999999E-5</v>
          </cell>
          <cell r="BS154">
            <v>2.1312486719999999E-5</v>
          </cell>
          <cell r="BT154">
            <v>2.1312486719999999E-5</v>
          </cell>
          <cell r="BU154">
            <v>2.1312486719999999E-5</v>
          </cell>
          <cell r="BV154">
            <v>2.1312486719999999E-5</v>
          </cell>
          <cell r="BW154">
            <v>2.1312486719999999E-5</v>
          </cell>
          <cell r="BX154">
            <v>2.1312486719999999E-5</v>
          </cell>
          <cell r="BY154">
            <v>2.1312486719999999E-5</v>
          </cell>
        </row>
        <row r="155">
          <cell r="H155" t="str">
            <v>Caminhão pesado a Diesel</v>
          </cell>
          <cell r="I155">
            <v>2.6709999999999998</v>
          </cell>
          <cell r="J155">
            <v>2.6709999999999998</v>
          </cell>
          <cell r="K155">
            <v>2.6709999999999998</v>
          </cell>
          <cell r="L155">
            <v>2.6709999999999998</v>
          </cell>
          <cell r="M155">
            <v>2.6709999999999998</v>
          </cell>
          <cell r="N155">
            <v>2.6709999999999998</v>
          </cell>
          <cell r="O155">
            <v>2.6709999999999998</v>
          </cell>
          <cell r="P155">
            <v>2.6709999999999998</v>
          </cell>
          <cell r="Q155">
            <v>2.6709999999999998</v>
          </cell>
          <cell r="R155">
            <v>2.6709999999999998</v>
          </cell>
          <cell r="S155">
            <v>2.6709999999999998</v>
          </cell>
          <cell r="T155">
            <v>2.6709999999999998</v>
          </cell>
          <cell r="U155">
            <v>2.6709999999999998</v>
          </cell>
          <cell r="V155">
            <v>2.6709999999999998</v>
          </cell>
          <cell r="W155">
            <v>2.6709999999999998</v>
          </cell>
          <cell r="X155">
            <v>2.6709999999999998</v>
          </cell>
          <cell r="Y155">
            <v>2.6709999999999998</v>
          </cell>
          <cell r="Z155">
            <v>2.6709999999999998</v>
          </cell>
          <cell r="AA155">
            <v>2.6709999999999998</v>
          </cell>
          <cell r="AB155">
            <v>2.6709999999999998</v>
          </cell>
          <cell r="AC155">
            <v>2.6709999999999998</v>
          </cell>
          <cell r="AD155">
            <v>2.6709999999999998</v>
          </cell>
          <cell r="AE155">
            <v>2.6709999999999998</v>
          </cell>
          <cell r="AF155">
            <v>2.9127065184000005E-4</v>
          </cell>
          <cell r="AG155">
            <v>2.9127065184000005E-4</v>
          </cell>
          <cell r="AH155">
            <v>2.9127065184000005E-4</v>
          </cell>
          <cell r="AI155">
            <v>2.9127065184000005E-4</v>
          </cell>
          <cell r="AJ155">
            <v>2.9127065184000005E-4</v>
          </cell>
          <cell r="AK155">
            <v>2.9127065184000005E-4</v>
          </cell>
          <cell r="AL155">
            <v>2.8771857071999997E-4</v>
          </cell>
          <cell r="AM155">
            <v>2.8061440847999998E-4</v>
          </cell>
          <cell r="AN155">
            <v>2.7351024623999999E-4</v>
          </cell>
          <cell r="AO155">
            <v>2.6995816512000002E-4</v>
          </cell>
          <cell r="AP155">
            <v>2.6285400287999998E-4</v>
          </cell>
          <cell r="AQ155">
            <v>2.5219775951999996E-4</v>
          </cell>
          <cell r="AR155">
            <v>2.4509359728000003E-4</v>
          </cell>
          <cell r="AS155">
            <v>2.4154151616000001E-4</v>
          </cell>
          <cell r="AT155">
            <v>2.3443735392000002E-4</v>
          </cell>
          <cell r="AU155">
            <v>2.2733319168E-4</v>
          </cell>
          <cell r="AV155">
            <v>2.2733319168E-4</v>
          </cell>
          <cell r="AW155">
            <v>2.2733319168E-4</v>
          </cell>
          <cell r="AX155">
            <v>2.2733319168E-4</v>
          </cell>
          <cell r="AY155">
            <v>2.2733319168E-4</v>
          </cell>
          <cell r="AZ155">
            <v>2.2733319168E-4</v>
          </cell>
          <cell r="BA155">
            <v>2.2733319168E-4</v>
          </cell>
          <cell r="BB155">
            <v>2.2733319168E-4</v>
          </cell>
          <cell r="BC155">
            <v>2.1312486719999999E-5</v>
          </cell>
          <cell r="BD155">
            <v>2.1312486719999999E-5</v>
          </cell>
          <cell r="BE155">
            <v>2.1312486719999999E-5</v>
          </cell>
          <cell r="BF155">
            <v>2.1312486719999999E-5</v>
          </cell>
          <cell r="BG155">
            <v>2.1312486719999999E-5</v>
          </cell>
          <cell r="BH155">
            <v>2.1312486719999999E-5</v>
          </cell>
          <cell r="BI155">
            <v>2.1312486719999999E-5</v>
          </cell>
          <cell r="BJ155">
            <v>2.1312486719999999E-5</v>
          </cell>
          <cell r="BK155">
            <v>2.1312486719999999E-5</v>
          </cell>
          <cell r="BL155">
            <v>2.1312486719999999E-5</v>
          </cell>
          <cell r="BM155">
            <v>2.1312486719999999E-5</v>
          </cell>
          <cell r="BN155">
            <v>2.1312486719999999E-5</v>
          </cell>
          <cell r="BO155">
            <v>2.1312486719999999E-5</v>
          </cell>
          <cell r="BP155">
            <v>2.1312486719999999E-5</v>
          </cell>
          <cell r="BQ155">
            <v>2.1312486719999999E-5</v>
          </cell>
          <cell r="BR155">
            <v>2.1312486719999999E-5</v>
          </cell>
          <cell r="BS155">
            <v>2.1312486719999999E-5</v>
          </cell>
          <cell r="BT155">
            <v>2.1312486719999999E-5</v>
          </cell>
          <cell r="BU155">
            <v>2.1312486719999999E-5</v>
          </cell>
          <cell r="BV155">
            <v>2.1312486719999999E-5</v>
          </cell>
          <cell r="BW155">
            <v>2.1312486719999999E-5</v>
          </cell>
          <cell r="BX155">
            <v>2.1312486719999999E-5</v>
          </cell>
          <cell r="BY155">
            <v>2.1312486719999999E-5</v>
          </cell>
        </row>
        <row r="156">
          <cell r="H156" t="str">
            <v>Veículo leve a GNV</v>
          </cell>
          <cell r="I156">
            <v>1.9990000000000001</v>
          </cell>
          <cell r="J156">
            <v>1.9990000000000001</v>
          </cell>
          <cell r="K156">
            <v>1.9990000000000001</v>
          </cell>
          <cell r="L156">
            <v>1.9990000000000001</v>
          </cell>
          <cell r="M156">
            <v>1.9990000000000001</v>
          </cell>
          <cell r="N156">
            <v>1.9990000000000001</v>
          </cell>
          <cell r="O156">
            <v>1.9990000000000001</v>
          </cell>
          <cell r="P156">
            <v>1.9990000000000001</v>
          </cell>
          <cell r="Q156">
            <v>1.9990000000000001</v>
          </cell>
          <cell r="R156">
            <v>1.9990000000000001</v>
          </cell>
          <cell r="S156">
            <v>1.9990000000000001</v>
          </cell>
          <cell r="T156">
            <v>1.9990000000000001</v>
          </cell>
          <cell r="U156">
            <v>1.9990000000000001</v>
          </cell>
          <cell r="V156">
            <v>1.9990000000000001</v>
          </cell>
          <cell r="W156">
            <v>1.9990000000000001</v>
          </cell>
          <cell r="X156">
            <v>1.9990000000000001</v>
          </cell>
          <cell r="Y156">
            <v>1.9990000000000001</v>
          </cell>
          <cell r="Z156">
            <v>1.9990000000000001</v>
          </cell>
          <cell r="AA156">
            <v>1.9990000000000001</v>
          </cell>
          <cell r="AB156">
            <v>1.9990000000000001</v>
          </cell>
          <cell r="AC156">
            <v>1.9990000000000001</v>
          </cell>
          <cell r="AD156">
            <v>1.9990000000000001</v>
          </cell>
          <cell r="AE156">
            <v>1.9990000000000001</v>
          </cell>
          <cell r="AF156">
            <v>3.3896332800000002E-3</v>
          </cell>
          <cell r="AG156">
            <v>3.3896332800000002E-3</v>
          </cell>
          <cell r="AH156">
            <v>3.3896332800000002E-3</v>
          </cell>
          <cell r="AI156">
            <v>3.3896332800000002E-3</v>
          </cell>
          <cell r="AJ156">
            <v>3.3896332800000002E-3</v>
          </cell>
          <cell r="AK156">
            <v>3.3896332800000002E-3</v>
          </cell>
          <cell r="AL156">
            <v>3.3896332800000002E-3</v>
          </cell>
          <cell r="AM156">
            <v>3.3896332800000002E-3</v>
          </cell>
          <cell r="AN156">
            <v>3.3896332800000002E-3</v>
          </cell>
          <cell r="AO156">
            <v>3.3896332800000002E-3</v>
          </cell>
          <cell r="AP156">
            <v>3.3896332800000002E-3</v>
          </cell>
          <cell r="AQ156">
            <v>3.3896332800000002E-3</v>
          </cell>
          <cell r="AR156">
            <v>3.3896332800000002E-3</v>
          </cell>
          <cell r="AS156">
            <v>3.3896332800000002E-3</v>
          </cell>
          <cell r="AT156">
            <v>3.3896332800000002E-3</v>
          </cell>
          <cell r="AU156">
            <v>3.3896332800000002E-3</v>
          </cell>
          <cell r="AV156">
            <v>3.3896332800000002E-3</v>
          </cell>
          <cell r="AW156">
            <v>3.3896332800000002E-3</v>
          </cell>
          <cell r="AX156">
            <v>3.3896332800000002E-3</v>
          </cell>
          <cell r="AY156">
            <v>3.3896332800000002E-3</v>
          </cell>
          <cell r="AZ156">
            <v>3.3896332800000002E-3</v>
          </cell>
          <cell r="BA156">
            <v>3.3896332800000002E-3</v>
          </cell>
          <cell r="BB156">
            <v>3.3896332800000002E-3</v>
          </cell>
          <cell r="BC156">
            <v>1.1053152E-4</v>
          </cell>
          <cell r="BD156">
            <v>1.1053152E-4</v>
          </cell>
          <cell r="BE156">
            <v>1.1053152E-4</v>
          </cell>
          <cell r="BF156">
            <v>1.1053152E-4</v>
          </cell>
          <cell r="BG156">
            <v>1.1053152E-4</v>
          </cell>
          <cell r="BH156">
            <v>1.1053152E-4</v>
          </cell>
          <cell r="BI156">
            <v>1.1053152E-4</v>
          </cell>
          <cell r="BJ156">
            <v>1.1053152E-4</v>
          </cell>
          <cell r="BK156">
            <v>1.1053152E-4</v>
          </cell>
          <cell r="BL156">
            <v>1.1053152E-4</v>
          </cell>
          <cell r="BM156">
            <v>1.1053152E-4</v>
          </cell>
          <cell r="BN156">
            <v>1.1053152E-4</v>
          </cell>
          <cell r="BO156">
            <v>1.1053152E-4</v>
          </cell>
          <cell r="BP156">
            <v>1.1053152E-4</v>
          </cell>
          <cell r="BQ156">
            <v>1.1053152E-4</v>
          </cell>
          <cell r="BR156">
            <v>1.1053152E-4</v>
          </cell>
          <cell r="BS156">
            <v>1.1053152E-4</v>
          </cell>
          <cell r="BT156">
            <v>1.1053152E-4</v>
          </cell>
          <cell r="BU156">
            <v>1.1053152E-4</v>
          </cell>
          <cell r="BV156">
            <v>1.1053152E-4</v>
          </cell>
          <cell r="BW156">
            <v>1.1053152E-4</v>
          </cell>
          <cell r="BX156">
            <v>1.1053152E-4</v>
          </cell>
          <cell r="BY156">
            <v>1.1053152E-4</v>
          </cell>
        </row>
        <row r="157">
          <cell r="H157" t="str">
            <v>Veículo médio a GNV</v>
          </cell>
          <cell r="I157">
            <v>1.9990000000000001</v>
          </cell>
          <cell r="J157">
            <v>1.9990000000000001</v>
          </cell>
          <cell r="K157">
            <v>1.9990000000000001</v>
          </cell>
          <cell r="L157">
            <v>1.9990000000000001</v>
          </cell>
          <cell r="M157">
            <v>1.9990000000000001</v>
          </cell>
          <cell r="N157">
            <v>1.9990000000000001</v>
          </cell>
          <cell r="O157">
            <v>1.9990000000000001</v>
          </cell>
          <cell r="P157">
            <v>1.9990000000000001</v>
          </cell>
          <cell r="Q157">
            <v>1.9990000000000001</v>
          </cell>
          <cell r="R157">
            <v>1.9990000000000001</v>
          </cell>
          <cell r="S157">
            <v>1.9990000000000001</v>
          </cell>
          <cell r="T157">
            <v>1.9990000000000001</v>
          </cell>
          <cell r="U157">
            <v>1.9990000000000001</v>
          </cell>
          <cell r="V157">
            <v>1.9990000000000001</v>
          </cell>
          <cell r="W157">
            <v>1.9990000000000001</v>
          </cell>
          <cell r="X157">
            <v>1.9990000000000001</v>
          </cell>
          <cell r="Y157">
            <v>1.9990000000000001</v>
          </cell>
          <cell r="Z157">
            <v>1.9990000000000001</v>
          </cell>
          <cell r="AA157">
            <v>1.9990000000000001</v>
          </cell>
          <cell r="AB157">
            <v>1.9990000000000001</v>
          </cell>
          <cell r="AC157">
            <v>1.9990000000000001</v>
          </cell>
          <cell r="AD157">
            <v>1.9990000000000001</v>
          </cell>
          <cell r="AE157">
            <v>1.9990000000000001</v>
          </cell>
          <cell r="AF157">
            <v>3.3896332800000002E-3</v>
          </cell>
          <cell r="AG157">
            <v>3.3896332800000002E-3</v>
          </cell>
          <cell r="AH157">
            <v>3.3896332800000002E-3</v>
          </cell>
          <cell r="AI157">
            <v>3.3896332800000002E-3</v>
          </cell>
          <cell r="AJ157">
            <v>3.3896332800000002E-3</v>
          </cell>
          <cell r="AK157">
            <v>3.3896332800000002E-3</v>
          </cell>
          <cell r="AL157">
            <v>3.3896332800000002E-3</v>
          </cell>
          <cell r="AM157">
            <v>3.3896332800000002E-3</v>
          </cell>
          <cell r="AN157">
            <v>3.3896332800000002E-3</v>
          </cell>
          <cell r="AO157">
            <v>3.3896332800000002E-3</v>
          </cell>
          <cell r="AP157">
            <v>3.3896332800000002E-3</v>
          </cell>
          <cell r="AQ157">
            <v>3.3896332800000002E-3</v>
          </cell>
          <cell r="AR157">
            <v>3.3896332800000002E-3</v>
          </cell>
          <cell r="AS157">
            <v>3.3896332800000002E-3</v>
          </cell>
          <cell r="AT157">
            <v>3.3896332800000002E-3</v>
          </cell>
          <cell r="AU157">
            <v>3.3896332800000002E-3</v>
          </cell>
          <cell r="AV157">
            <v>3.3896332800000002E-3</v>
          </cell>
          <cell r="AW157">
            <v>3.3896332800000002E-3</v>
          </cell>
          <cell r="AX157">
            <v>3.3896332800000002E-3</v>
          </cell>
          <cell r="AY157">
            <v>3.3896332800000002E-3</v>
          </cell>
          <cell r="AZ157">
            <v>3.3896332800000002E-3</v>
          </cell>
          <cell r="BA157">
            <v>3.3896332800000002E-3</v>
          </cell>
          <cell r="BB157">
            <v>3.3896332800000002E-3</v>
          </cell>
          <cell r="BC157">
            <v>1.1053152E-4</v>
          </cell>
          <cell r="BD157">
            <v>1.1053152E-4</v>
          </cell>
          <cell r="BE157">
            <v>1.1053152E-4</v>
          </cell>
          <cell r="BF157">
            <v>1.1053152E-4</v>
          </cell>
          <cell r="BG157">
            <v>1.1053152E-4</v>
          </cell>
          <cell r="BH157">
            <v>1.1053152E-4</v>
          </cell>
          <cell r="BI157">
            <v>1.1053152E-4</v>
          </cell>
          <cell r="BJ157">
            <v>1.1053152E-4</v>
          </cell>
          <cell r="BK157">
            <v>1.1053152E-4</v>
          </cell>
          <cell r="BL157">
            <v>1.1053152E-4</v>
          </cell>
          <cell r="BM157">
            <v>1.1053152E-4</v>
          </cell>
          <cell r="BN157">
            <v>1.1053152E-4</v>
          </cell>
          <cell r="BO157">
            <v>1.1053152E-4</v>
          </cell>
          <cell r="BP157">
            <v>1.1053152E-4</v>
          </cell>
          <cell r="BQ157">
            <v>1.1053152E-4</v>
          </cell>
          <cell r="BR157">
            <v>1.1053152E-4</v>
          </cell>
          <cell r="BS157">
            <v>1.1053152E-4</v>
          </cell>
          <cell r="BT157">
            <v>1.1053152E-4</v>
          </cell>
          <cell r="BU157">
            <v>1.1053152E-4</v>
          </cell>
          <cell r="BV157">
            <v>1.1053152E-4</v>
          </cell>
          <cell r="BW157">
            <v>1.1053152E-4</v>
          </cell>
          <cell r="BX157">
            <v>1.1053152E-4</v>
          </cell>
          <cell r="BY157">
            <v>1.1053152E-4</v>
          </cell>
        </row>
        <row r="158">
          <cell r="H158" t="str">
            <v>Veículo pesado a GNV</v>
          </cell>
          <cell r="I158">
            <v>1.9990000000000001</v>
          </cell>
          <cell r="J158">
            <v>1.9990000000000001</v>
          </cell>
          <cell r="K158">
            <v>1.9990000000000001</v>
          </cell>
          <cell r="L158">
            <v>1.9990000000000001</v>
          </cell>
          <cell r="M158">
            <v>1.9990000000000001</v>
          </cell>
          <cell r="N158">
            <v>1.9990000000000001</v>
          </cell>
          <cell r="O158">
            <v>1.9990000000000001</v>
          </cell>
          <cell r="P158">
            <v>1.9990000000000001</v>
          </cell>
          <cell r="Q158">
            <v>1.9990000000000001</v>
          </cell>
          <cell r="R158">
            <v>1.9990000000000001</v>
          </cell>
          <cell r="S158">
            <v>1.9990000000000001</v>
          </cell>
          <cell r="T158">
            <v>1.9990000000000001</v>
          </cell>
          <cell r="U158">
            <v>1.9990000000000001</v>
          </cell>
          <cell r="V158">
            <v>1.9990000000000001</v>
          </cell>
          <cell r="W158">
            <v>1.9990000000000001</v>
          </cell>
          <cell r="X158">
            <v>1.9990000000000001</v>
          </cell>
          <cell r="Y158">
            <v>1.9990000000000001</v>
          </cell>
          <cell r="Z158">
            <v>1.9990000000000001</v>
          </cell>
          <cell r="AA158">
            <v>1.9990000000000001</v>
          </cell>
          <cell r="AB158">
            <v>1.9990000000000001</v>
          </cell>
          <cell r="AC158">
            <v>1.9990000000000001</v>
          </cell>
          <cell r="AD158">
            <v>1.9990000000000001</v>
          </cell>
          <cell r="AE158">
            <v>1.9990000000000001</v>
          </cell>
          <cell r="AF158">
            <v>3.3896332800000002E-3</v>
          </cell>
          <cell r="AG158">
            <v>3.3896332800000002E-3</v>
          </cell>
          <cell r="AH158">
            <v>3.3896332800000002E-3</v>
          </cell>
          <cell r="AI158">
            <v>3.3896332800000002E-3</v>
          </cell>
          <cell r="AJ158">
            <v>3.3896332800000002E-3</v>
          </cell>
          <cell r="AK158">
            <v>3.3896332800000002E-3</v>
          </cell>
          <cell r="AL158">
            <v>3.3896332800000002E-3</v>
          </cell>
          <cell r="AM158">
            <v>3.3896332800000002E-3</v>
          </cell>
          <cell r="AN158">
            <v>3.3896332800000002E-3</v>
          </cell>
          <cell r="AO158">
            <v>3.3896332800000002E-3</v>
          </cell>
          <cell r="AP158">
            <v>3.3896332800000002E-3</v>
          </cell>
          <cell r="AQ158">
            <v>3.3896332800000002E-3</v>
          </cell>
          <cell r="AR158">
            <v>3.3896332800000002E-3</v>
          </cell>
          <cell r="AS158">
            <v>3.3896332800000002E-3</v>
          </cell>
          <cell r="AT158">
            <v>3.3896332800000002E-3</v>
          </cell>
          <cell r="AU158">
            <v>3.3896332800000002E-3</v>
          </cell>
          <cell r="AV158">
            <v>3.3896332800000002E-3</v>
          </cell>
          <cell r="AW158">
            <v>3.3896332800000002E-3</v>
          </cell>
          <cell r="AX158">
            <v>3.3896332800000002E-3</v>
          </cell>
          <cell r="AY158">
            <v>3.3896332800000002E-3</v>
          </cell>
          <cell r="AZ158">
            <v>3.3896332800000002E-3</v>
          </cell>
          <cell r="BA158">
            <v>3.3896332800000002E-3</v>
          </cell>
          <cell r="BB158">
            <v>3.3896332800000002E-3</v>
          </cell>
          <cell r="BC158">
            <v>1.1053152E-4</v>
          </cell>
          <cell r="BD158">
            <v>1.1053152E-4</v>
          </cell>
          <cell r="BE158">
            <v>1.1053152E-4</v>
          </cell>
          <cell r="BF158">
            <v>1.1053152E-4</v>
          </cell>
          <cell r="BG158">
            <v>1.1053152E-4</v>
          </cell>
          <cell r="BH158">
            <v>1.1053152E-4</v>
          </cell>
          <cell r="BI158">
            <v>1.1053152E-4</v>
          </cell>
          <cell r="BJ158">
            <v>1.1053152E-4</v>
          </cell>
          <cell r="BK158">
            <v>1.1053152E-4</v>
          </cell>
          <cell r="BL158">
            <v>1.1053152E-4</v>
          </cell>
          <cell r="BM158">
            <v>1.1053152E-4</v>
          </cell>
          <cell r="BN158">
            <v>1.1053152E-4</v>
          </cell>
          <cell r="BO158">
            <v>1.1053152E-4</v>
          </cell>
          <cell r="BP158">
            <v>1.1053152E-4</v>
          </cell>
          <cell r="BQ158">
            <v>1.1053152E-4</v>
          </cell>
          <cell r="BR158">
            <v>1.1053152E-4</v>
          </cell>
          <cell r="BS158">
            <v>1.1053152E-4</v>
          </cell>
          <cell r="BT158">
            <v>1.1053152E-4</v>
          </cell>
          <cell r="BU158">
            <v>1.1053152E-4</v>
          </cell>
          <cell r="BV158">
            <v>1.1053152E-4</v>
          </cell>
          <cell r="BW158">
            <v>1.1053152E-4</v>
          </cell>
          <cell r="BX158">
            <v>1.1053152E-4</v>
          </cell>
          <cell r="BY158">
            <v>1.1053152E-4</v>
          </cell>
        </row>
        <row r="159">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0</v>
          </cell>
          <cell r="BY159">
            <v>0</v>
          </cell>
        </row>
        <row r="160">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cell r="BU160">
            <v>0</v>
          </cell>
          <cell r="BV160">
            <v>0</v>
          </cell>
          <cell r="BW160">
            <v>0</v>
          </cell>
          <cell r="BX160">
            <v>0</v>
          </cell>
          <cell r="BY160">
            <v>0</v>
          </cell>
        </row>
        <row r="161">
          <cell r="H161" t="str">
            <v>Tipo de Veículo</v>
          </cell>
          <cell r="I161" t="str">
            <v>Fatores de Emissão</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t="str">
            <v>Fatores de Emissão</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t="str">
            <v>Fatores de Emissão</v>
          </cell>
          <cell r="BD161">
            <v>0</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0</v>
          </cell>
          <cell r="BX161">
            <v>0</v>
          </cell>
          <cell r="BY161">
            <v>0</v>
          </cell>
        </row>
        <row r="162">
          <cell r="H162">
            <v>0</v>
          </cell>
          <cell r="I162" t="str">
            <v>CO2 (kg/un.)</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t="str">
            <v>CH4 (kg/un.)</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t="str">
            <v>N2O (kg/un.)</v>
          </cell>
          <cell r="BD162">
            <v>0</v>
          </cell>
          <cell r="BE162">
            <v>0</v>
          </cell>
          <cell r="BF162">
            <v>0</v>
          </cell>
          <cell r="BG162">
            <v>0</v>
          </cell>
          <cell r="BH162">
            <v>0</v>
          </cell>
          <cell r="BI162">
            <v>0</v>
          </cell>
          <cell r="BJ162">
            <v>0</v>
          </cell>
          <cell r="BK162">
            <v>0</v>
          </cell>
          <cell r="BL162">
            <v>0</v>
          </cell>
          <cell r="BM162">
            <v>0</v>
          </cell>
          <cell r="BN162">
            <v>0</v>
          </cell>
          <cell r="BO162">
            <v>0</v>
          </cell>
          <cell r="BP162">
            <v>0</v>
          </cell>
          <cell r="BQ162">
            <v>0</v>
          </cell>
          <cell r="BR162">
            <v>0</v>
          </cell>
          <cell r="BS162">
            <v>0</v>
          </cell>
          <cell r="BT162">
            <v>0</v>
          </cell>
          <cell r="BU162">
            <v>0</v>
          </cell>
          <cell r="BV162">
            <v>0</v>
          </cell>
          <cell r="BW162">
            <v>0</v>
          </cell>
          <cell r="BX162">
            <v>0</v>
          </cell>
          <cell r="BY162">
            <v>0</v>
          </cell>
        </row>
        <row r="163">
          <cell r="H163">
            <v>0</v>
          </cell>
          <cell r="I163">
            <v>1990</v>
          </cell>
          <cell r="J163">
            <v>1991</v>
          </cell>
          <cell r="K163">
            <v>1992</v>
          </cell>
          <cell r="L163">
            <v>1993</v>
          </cell>
          <cell r="M163">
            <v>1994</v>
          </cell>
          <cell r="N163">
            <v>1995</v>
          </cell>
          <cell r="O163">
            <v>1996</v>
          </cell>
          <cell r="P163">
            <v>1997</v>
          </cell>
          <cell r="Q163">
            <v>1998</v>
          </cell>
          <cell r="R163">
            <v>1999</v>
          </cell>
          <cell r="S163">
            <v>2000</v>
          </cell>
          <cell r="T163">
            <v>2001</v>
          </cell>
          <cell r="U163">
            <v>2002</v>
          </cell>
          <cell r="V163">
            <v>2003</v>
          </cell>
          <cell r="W163">
            <v>2004</v>
          </cell>
          <cell r="X163">
            <v>2005</v>
          </cell>
          <cell r="Y163">
            <v>2006</v>
          </cell>
          <cell r="Z163">
            <v>2007</v>
          </cell>
          <cell r="AA163">
            <v>2008</v>
          </cell>
          <cell r="AB163">
            <v>2009</v>
          </cell>
          <cell r="AC163">
            <v>2010</v>
          </cell>
          <cell r="AD163">
            <v>2011</v>
          </cell>
          <cell r="AE163">
            <v>2012</v>
          </cell>
          <cell r="AF163">
            <v>1990</v>
          </cell>
          <cell r="AG163">
            <v>1991</v>
          </cell>
          <cell r="AH163">
            <v>1992</v>
          </cell>
          <cell r="AI163">
            <v>1993</v>
          </cell>
          <cell r="AJ163">
            <v>1994</v>
          </cell>
          <cell r="AK163">
            <v>1995</v>
          </cell>
          <cell r="AL163">
            <v>1996</v>
          </cell>
          <cell r="AM163">
            <v>1997</v>
          </cell>
          <cell r="AN163">
            <v>1998</v>
          </cell>
          <cell r="AO163">
            <v>1999</v>
          </cell>
          <cell r="AP163">
            <v>2000</v>
          </cell>
          <cell r="AQ163">
            <v>2001</v>
          </cell>
          <cell r="AR163">
            <v>2002</v>
          </cell>
          <cell r="AS163">
            <v>2003</v>
          </cell>
          <cell r="AT163">
            <v>2004</v>
          </cell>
          <cell r="AU163">
            <v>2005</v>
          </cell>
          <cell r="AV163">
            <v>2006</v>
          </cell>
          <cell r="AW163">
            <v>2007</v>
          </cell>
          <cell r="AX163">
            <v>2008</v>
          </cell>
          <cell r="AY163">
            <v>2009</v>
          </cell>
          <cell r="AZ163">
            <v>2010</v>
          </cell>
          <cell r="BA163">
            <v>2011</v>
          </cell>
          <cell r="BB163">
            <v>2012</v>
          </cell>
          <cell r="BC163">
            <v>1990</v>
          </cell>
          <cell r="BD163">
            <v>1991</v>
          </cell>
          <cell r="BE163">
            <v>1992</v>
          </cell>
          <cell r="BF163">
            <v>1993</v>
          </cell>
          <cell r="BG163">
            <v>1994</v>
          </cell>
          <cell r="BH163">
            <v>1995</v>
          </cell>
          <cell r="BI163">
            <v>1996</v>
          </cell>
          <cell r="BJ163">
            <v>1997</v>
          </cell>
          <cell r="BK163">
            <v>1998</v>
          </cell>
          <cell r="BL163">
            <v>1999</v>
          </cell>
          <cell r="BM163">
            <v>2000</v>
          </cell>
          <cell r="BN163">
            <v>2001</v>
          </cell>
          <cell r="BO163">
            <v>2002</v>
          </cell>
          <cell r="BP163">
            <v>2003</v>
          </cell>
          <cell r="BQ163">
            <v>2004</v>
          </cell>
          <cell r="BR163">
            <v>2005</v>
          </cell>
          <cell r="BS163">
            <v>2006</v>
          </cell>
          <cell r="BT163">
            <v>2007</v>
          </cell>
          <cell r="BU163">
            <v>2008</v>
          </cell>
          <cell r="BV163">
            <v>2009</v>
          </cell>
          <cell r="BW163">
            <v>2010</v>
          </cell>
          <cell r="BX163">
            <v>2011</v>
          </cell>
          <cell r="BY163">
            <v>2012</v>
          </cell>
        </row>
        <row r="164">
          <cell r="H164" t="str">
            <v>Veículo de passeio a etanol</v>
          </cell>
          <cell r="I164">
            <v>1.1779999999999999</v>
          </cell>
          <cell r="J164">
            <v>1.1779999999999999</v>
          </cell>
          <cell r="K164">
            <v>1.1779999999999999</v>
          </cell>
          <cell r="L164">
            <v>1.1779999999999999</v>
          </cell>
          <cell r="M164">
            <v>1.1779999999999999</v>
          </cell>
          <cell r="N164">
            <v>1.1779999999999999</v>
          </cell>
          <cell r="O164">
            <v>1.1779999999999999</v>
          </cell>
          <cell r="P164">
            <v>1.1779999999999999</v>
          </cell>
          <cell r="Q164">
            <v>1.1779999999999999</v>
          </cell>
          <cell r="R164">
            <v>1.1779999999999999</v>
          </cell>
          <cell r="S164">
            <v>1.1779999999999999</v>
          </cell>
          <cell r="T164">
            <v>1.1779999999999999</v>
          </cell>
          <cell r="U164">
            <v>1.1779999999999999</v>
          </cell>
          <cell r="V164">
            <v>1.1779999999999999</v>
          </cell>
          <cell r="W164">
            <v>1.1779999999999999</v>
          </cell>
          <cell r="X164">
            <v>1.1779999999999999</v>
          </cell>
          <cell r="Y164">
            <v>1.1779999999999999</v>
          </cell>
          <cell r="Z164">
            <v>1.1779999999999999</v>
          </cell>
          <cell r="AA164">
            <v>1.1779999999999999</v>
          </cell>
          <cell r="AB164">
            <v>1.1779999999999999</v>
          </cell>
          <cell r="AC164">
            <v>1.1779999999999999</v>
          </cell>
          <cell r="AD164">
            <v>1.1779999999999999</v>
          </cell>
          <cell r="AE164">
            <v>1.1779999999999999</v>
          </cell>
          <cell r="AF164">
            <v>1.5790759034400002E-4</v>
          </cell>
          <cell r="AG164">
            <v>1.5790759034400002E-4</v>
          </cell>
          <cell r="AH164">
            <v>1.5577370398800003E-4</v>
          </cell>
          <cell r="AI164">
            <v>1.5150593127599999E-4</v>
          </cell>
          <cell r="AJ164">
            <v>1.4937204492E-4</v>
          </cell>
          <cell r="AK164">
            <v>1.4723815856400001E-4</v>
          </cell>
          <cell r="AL164">
            <v>1.4723815856400001E-4</v>
          </cell>
          <cell r="AM164">
            <v>1.4723815856400001E-4</v>
          </cell>
          <cell r="AN164">
            <v>1.4723815856400001E-4</v>
          </cell>
          <cell r="AO164">
            <v>1.4723815856400001E-4</v>
          </cell>
          <cell r="AP164">
            <v>1.4723815856400001E-4</v>
          </cell>
          <cell r="AQ164">
            <v>1.4510427220800002E-4</v>
          </cell>
          <cell r="AR164">
            <v>1.4510427220800002E-4</v>
          </cell>
          <cell r="AS164">
            <v>1.4083649949600001E-4</v>
          </cell>
          <cell r="AT164">
            <v>1.4083649949600001E-4</v>
          </cell>
          <cell r="AU164">
            <v>1.0029265873200001E-4</v>
          </cell>
          <cell r="AV164">
            <v>1.0029265873200001E-4</v>
          </cell>
          <cell r="AW164">
            <v>1.0029265873200001E-4</v>
          </cell>
          <cell r="AX164">
            <v>1.0029265873200001E-4</v>
          </cell>
          <cell r="AY164">
            <v>1.0029265873200001E-4</v>
          </cell>
          <cell r="AZ164">
            <v>1.0029265873200001E-4</v>
          </cell>
          <cell r="BA164">
            <v>1.0029265873200001E-4</v>
          </cell>
          <cell r="BB164">
            <v>1.0029265873200001E-4</v>
          </cell>
          <cell r="BC164">
            <v>4.2677727120000005E-5</v>
          </cell>
          <cell r="BD164">
            <v>4.2677727120000005E-5</v>
          </cell>
          <cell r="BE164">
            <v>4.2677727120000005E-5</v>
          </cell>
          <cell r="BF164">
            <v>4.2677727120000005E-5</v>
          </cell>
          <cell r="BG164">
            <v>4.2677727120000005E-5</v>
          </cell>
          <cell r="BH164">
            <v>4.2677727120000005E-5</v>
          </cell>
          <cell r="BI164">
            <v>4.2677727120000005E-5</v>
          </cell>
          <cell r="BJ164">
            <v>4.2677727120000005E-5</v>
          </cell>
          <cell r="BK164">
            <v>4.2677727120000005E-5</v>
          </cell>
          <cell r="BL164">
            <v>4.2677727120000005E-5</v>
          </cell>
          <cell r="BM164">
            <v>4.2677727120000005E-5</v>
          </cell>
          <cell r="BN164">
            <v>4.2677727120000005E-5</v>
          </cell>
          <cell r="BO164">
            <v>4.2677727120000005E-5</v>
          </cell>
          <cell r="BP164">
            <v>4.2464338484400006E-5</v>
          </cell>
          <cell r="BQ164">
            <v>4.0543840764000007E-5</v>
          </cell>
          <cell r="BR164">
            <v>3.6276068052000006E-5</v>
          </cell>
          <cell r="BS164">
            <v>3.6276068052000006E-5</v>
          </cell>
          <cell r="BT164">
            <v>3.6276068052000006E-5</v>
          </cell>
          <cell r="BU164">
            <v>3.6276068052000006E-5</v>
          </cell>
          <cell r="BV164">
            <v>3.6276068052000006E-5</v>
          </cell>
          <cell r="BW164">
            <v>3.6276068052000006E-5</v>
          </cell>
          <cell r="BX164">
            <v>3.6276068052000006E-5</v>
          </cell>
          <cell r="BY164">
            <v>3.6276068052000006E-5</v>
          </cell>
        </row>
        <row r="165">
          <cell r="H165" t="str">
            <v>Veículo de passeio flex a etanol</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v>1.1779999999999999</v>
          </cell>
          <cell r="W165">
            <v>1.1779999999999999</v>
          </cell>
          <cell r="X165">
            <v>1.1779999999999999</v>
          </cell>
          <cell r="Y165">
            <v>1.1779999999999999</v>
          </cell>
          <cell r="Z165">
            <v>1.1779999999999999</v>
          </cell>
          <cell r="AA165">
            <v>1.1779999999999999</v>
          </cell>
          <cell r="AB165">
            <v>1.1779999999999999</v>
          </cell>
          <cell r="AC165">
            <v>1.1779999999999999</v>
          </cell>
          <cell r="AD165">
            <v>1.1779999999999999</v>
          </cell>
          <cell r="AE165">
            <v>1.1779999999999999</v>
          </cell>
          <cell r="AF165" t="str">
            <v>-</v>
          </cell>
          <cell r="AG165" t="str">
            <v>-</v>
          </cell>
          <cell r="AH165" t="str">
            <v>-</v>
          </cell>
          <cell r="AI165" t="str">
            <v>-</v>
          </cell>
          <cell r="AJ165" t="str">
            <v>-</v>
          </cell>
          <cell r="AK165" t="str">
            <v>-</v>
          </cell>
          <cell r="AL165" t="str">
            <v>-</v>
          </cell>
          <cell r="AM165" t="str">
            <v>-</v>
          </cell>
          <cell r="AN165" t="str">
            <v>-</v>
          </cell>
          <cell r="AO165" t="str">
            <v>-</v>
          </cell>
          <cell r="AP165" t="str">
            <v>-</v>
          </cell>
          <cell r="AQ165" t="str">
            <v>-</v>
          </cell>
          <cell r="AR165" t="str">
            <v>-</v>
          </cell>
          <cell r="AS165">
            <v>1.4083649949600001E-4</v>
          </cell>
          <cell r="AT165">
            <v>1.4083649949600001E-4</v>
          </cell>
          <cell r="AU165">
            <v>1.0029265873200001E-4</v>
          </cell>
          <cell r="AV165">
            <v>1.0029265873200001E-4</v>
          </cell>
          <cell r="AW165">
            <v>1.0029265873200001E-4</v>
          </cell>
          <cell r="AX165">
            <v>1.0029265873200001E-4</v>
          </cell>
          <cell r="AY165">
            <v>1.0029265873200001E-4</v>
          </cell>
          <cell r="AZ165">
            <v>1.0029265873200001E-4</v>
          </cell>
          <cell r="BA165">
            <v>1.0029265873200001E-4</v>
          </cell>
          <cell r="BB165">
            <v>1.0029265873200001E-4</v>
          </cell>
          <cell r="BC165" t="str">
            <v>-</v>
          </cell>
          <cell r="BD165" t="str">
            <v>-</v>
          </cell>
          <cell r="BE165" t="str">
            <v>-</v>
          </cell>
          <cell r="BF165" t="str">
            <v>-</v>
          </cell>
          <cell r="BG165" t="str">
            <v>-</v>
          </cell>
          <cell r="BH165" t="str">
            <v>-</v>
          </cell>
          <cell r="BI165" t="str">
            <v>-</v>
          </cell>
          <cell r="BJ165" t="str">
            <v>-</v>
          </cell>
          <cell r="BK165" t="str">
            <v>-</v>
          </cell>
          <cell r="BL165" t="str">
            <v>-</v>
          </cell>
          <cell r="BM165" t="str">
            <v>-</v>
          </cell>
          <cell r="BN165" t="str">
            <v>-</v>
          </cell>
          <cell r="BO165" t="str">
            <v>-</v>
          </cell>
          <cell r="BP165">
            <v>4.2464338484400006E-5</v>
          </cell>
          <cell r="BQ165">
            <v>4.0543840764000007E-5</v>
          </cell>
          <cell r="BR165">
            <v>3.6276068052000006E-5</v>
          </cell>
          <cell r="BS165">
            <v>3.6276068052000006E-5</v>
          </cell>
          <cell r="BT165">
            <v>3.6276068052000006E-5</v>
          </cell>
          <cell r="BU165">
            <v>3.6276068052000006E-5</v>
          </cell>
          <cell r="BV165">
            <v>3.6276068052000006E-5</v>
          </cell>
          <cell r="BW165">
            <v>3.6276068052000006E-5</v>
          </cell>
          <cell r="BX165">
            <v>3.6276068052000006E-5</v>
          </cell>
          <cell r="BY165">
            <v>3.6276068052000006E-5</v>
          </cell>
        </row>
        <row r="166">
          <cell r="H166" t="str">
            <v>Motocicletas flex a etanol</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v>1.1779999999999999</v>
          </cell>
          <cell r="AA166">
            <v>1.1779999999999999</v>
          </cell>
          <cell r="AB166">
            <v>1.1779999999999999</v>
          </cell>
          <cell r="AC166">
            <v>1.1779999999999999</v>
          </cell>
          <cell r="AD166">
            <v>1.1779999999999999</v>
          </cell>
          <cell r="AE166">
            <v>1.1779999999999999</v>
          </cell>
          <cell r="AF166" t="str">
            <v>-</v>
          </cell>
          <cell r="AG166" t="str">
            <v>-</v>
          </cell>
          <cell r="AH166" t="str">
            <v>-</v>
          </cell>
          <cell r="AI166" t="str">
            <v>-</v>
          </cell>
          <cell r="AJ166" t="str">
            <v>-</v>
          </cell>
          <cell r="AK166" t="str">
            <v>-</v>
          </cell>
          <cell r="AL166" t="str">
            <v>-</v>
          </cell>
          <cell r="AM166" t="str">
            <v>-</v>
          </cell>
          <cell r="AN166" t="str">
            <v>-</v>
          </cell>
          <cell r="AO166" t="str">
            <v>-</v>
          </cell>
          <cell r="AP166" t="str">
            <v>-</v>
          </cell>
          <cell r="AQ166" t="str">
            <v>-</v>
          </cell>
          <cell r="AR166" t="str">
            <v>-</v>
          </cell>
          <cell r="AS166" t="str">
            <v>-</v>
          </cell>
          <cell r="AT166" t="str">
            <v>-</v>
          </cell>
          <cell r="AU166" t="str">
            <v>-</v>
          </cell>
          <cell r="AV166" t="str">
            <v>-</v>
          </cell>
          <cell r="AW166">
            <v>3.8409954408000002E-4</v>
          </cell>
          <cell r="AX166">
            <v>3.8409954408000002E-4</v>
          </cell>
          <cell r="AY166">
            <v>3.8409954408000002E-4</v>
          </cell>
          <cell r="AZ166">
            <v>3.8409954408000002E-4</v>
          </cell>
          <cell r="BA166">
            <v>3.8409954408000002E-4</v>
          </cell>
          <cell r="BB166">
            <v>3.8409954408000002E-4</v>
          </cell>
          <cell r="BC166" t="str">
            <v>-</v>
          </cell>
          <cell r="BD166" t="str">
            <v>-</v>
          </cell>
          <cell r="BE166" t="str">
            <v>-</v>
          </cell>
          <cell r="BF166" t="str">
            <v>-</v>
          </cell>
          <cell r="BG166" t="str">
            <v>-</v>
          </cell>
          <cell r="BH166" t="str">
            <v>-</v>
          </cell>
          <cell r="BI166" t="str">
            <v>-</v>
          </cell>
          <cell r="BJ166" t="str">
            <v>-</v>
          </cell>
          <cell r="BK166" t="str">
            <v>-</v>
          </cell>
          <cell r="BL166" t="str">
            <v>-</v>
          </cell>
          <cell r="BM166" t="str">
            <v>-</v>
          </cell>
          <cell r="BN166" t="str">
            <v>-</v>
          </cell>
          <cell r="BO166" t="str">
            <v>-</v>
          </cell>
          <cell r="BP166" t="str">
            <v>-</v>
          </cell>
          <cell r="BQ166" t="str">
            <v>-</v>
          </cell>
          <cell r="BR166" t="str">
            <v>-</v>
          </cell>
          <cell r="BS166" t="str">
            <v>-</v>
          </cell>
          <cell r="BT166" t="str">
            <v>-</v>
          </cell>
          <cell r="BU166" t="str">
            <v>-</v>
          </cell>
          <cell r="BV166" t="str">
            <v>-</v>
          </cell>
          <cell r="BW166" t="str">
            <v>-</v>
          </cell>
          <cell r="BX166" t="str">
            <v>-</v>
          </cell>
          <cell r="BY166" t="str">
            <v>-</v>
          </cell>
        </row>
        <row r="167">
          <cell r="H167" t="str">
            <v>Veículo comercial leve a etanol</v>
          </cell>
          <cell r="I167">
            <v>1.1779999999999999</v>
          </cell>
          <cell r="J167">
            <v>1.1779999999999999</v>
          </cell>
          <cell r="K167">
            <v>1.1779999999999999</v>
          </cell>
          <cell r="L167">
            <v>1.1779999999999999</v>
          </cell>
          <cell r="M167">
            <v>1.1779999999999999</v>
          </cell>
          <cell r="N167">
            <v>1.1779999999999999</v>
          </cell>
          <cell r="O167">
            <v>1.1779999999999999</v>
          </cell>
          <cell r="P167">
            <v>1.1779999999999999</v>
          </cell>
          <cell r="Q167">
            <v>1.1779999999999999</v>
          </cell>
          <cell r="R167">
            <v>1.1779999999999999</v>
          </cell>
          <cell r="S167">
            <v>1.1779999999999999</v>
          </cell>
          <cell r="T167">
            <v>1.1779999999999999</v>
          </cell>
          <cell r="U167">
            <v>1.1779999999999999</v>
          </cell>
          <cell r="V167">
            <v>1.1779999999999999</v>
          </cell>
          <cell r="W167">
            <v>1.1779999999999999</v>
          </cell>
          <cell r="X167">
            <v>1.1779999999999999</v>
          </cell>
          <cell r="Y167">
            <v>1.1779999999999999</v>
          </cell>
          <cell r="Z167">
            <v>1.1779999999999999</v>
          </cell>
          <cell r="AA167">
            <v>1.1779999999999999</v>
          </cell>
          <cell r="AB167">
            <v>1.1779999999999999</v>
          </cell>
          <cell r="AC167">
            <v>1.1779999999999999</v>
          </cell>
          <cell r="AD167">
            <v>1.1779999999999999</v>
          </cell>
          <cell r="AE167">
            <v>1.1779999999999999</v>
          </cell>
          <cell r="AF167">
            <v>1.5790759034400002E-4</v>
          </cell>
          <cell r="AG167">
            <v>1.5790759034400002E-4</v>
          </cell>
          <cell r="AH167">
            <v>1.5363981763200004E-4</v>
          </cell>
          <cell r="AI167">
            <v>1.4937204492E-4</v>
          </cell>
          <cell r="AJ167">
            <v>1.4510427220800002E-4</v>
          </cell>
          <cell r="AK167">
            <v>1.42970385852E-4</v>
          </cell>
          <cell r="AL167">
            <v>1.42970385852E-4</v>
          </cell>
          <cell r="AM167">
            <v>1.42970385852E-4</v>
          </cell>
          <cell r="AN167">
            <v>1.4083649949600001E-4</v>
          </cell>
          <cell r="AO167">
            <v>1.4083649949600001E-4</v>
          </cell>
          <cell r="AP167">
            <v>1.4083649949600001E-4</v>
          </cell>
          <cell r="AQ167">
            <v>1.3870261314000002E-4</v>
          </cell>
          <cell r="AR167">
            <v>1.36568726784E-4</v>
          </cell>
          <cell r="AS167">
            <v>1.3230095407200002E-4</v>
          </cell>
          <cell r="AT167">
            <v>1.2163152229200002E-4</v>
          </cell>
          <cell r="AU167">
            <v>1.02426545088E-4</v>
          </cell>
          <cell r="AV167">
            <v>1.02426545088E-4</v>
          </cell>
          <cell r="AW167">
            <v>1.02426545088E-4</v>
          </cell>
          <cell r="AX167">
            <v>1.02426545088E-4</v>
          </cell>
          <cell r="AY167">
            <v>1.02426545088E-4</v>
          </cell>
          <cell r="AZ167">
            <v>1.02426545088E-4</v>
          </cell>
          <cell r="BA167">
            <v>1.02426545088E-4</v>
          </cell>
          <cell r="BB167">
            <v>1.02426545088E-4</v>
          </cell>
          <cell r="BC167">
            <v>4.2677727120000005E-5</v>
          </cell>
          <cell r="BD167">
            <v>4.2677727120000005E-5</v>
          </cell>
          <cell r="BE167">
            <v>4.2677727120000005E-5</v>
          </cell>
          <cell r="BF167">
            <v>4.2677727120000005E-5</v>
          </cell>
          <cell r="BG167">
            <v>4.2677727120000005E-5</v>
          </cell>
          <cell r="BH167">
            <v>4.2677727120000005E-5</v>
          </cell>
          <cell r="BI167">
            <v>4.2677727120000005E-5</v>
          </cell>
          <cell r="BJ167">
            <v>4.2677727120000005E-5</v>
          </cell>
          <cell r="BK167">
            <v>4.2677727120000005E-5</v>
          </cell>
          <cell r="BL167">
            <v>4.2677727120000005E-5</v>
          </cell>
          <cell r="BM167">
            <v>4.2677727120000005E-5</v>
          </cell>
          <cell r="BN167">
            <v>4.2677727120000005E-5</v>
          </cell>
          <cell r="BO167">
            <v>4.2677727120000005E-5</v>
          </cell>
          <cell r="BP167">
            <v>4.2677727120000005E-5</v>
          </cell>
          <cell r="BQ167">
            <v>4.2677727120000005E-5</v>
          </cell>
          <cell r="BR167">
            <v>4.2677727120000005E-5</v>
          </cell>
          <cell r="BS167">
            <v>4.2677727120000005E-5</v>
          </cell>
          <cell r="BT167">
            <v>4.2677727120000005E-5</v>
          </cell>
          <cell r="BU167">
            <v>4.2677727120000005E-5</v>
          </cell>
          <cell r="BV167">
            <v>4.2677727120000005E-5</v>
          </cell>
          <cell r="BW167">
            <v>4.2677727120000005E-5</v>
          </cell>
          <cell r="BX167">
            <v>4.2677727120000005E-5</v>
          </cell>
          <cell r="BY167">
            <v>4.2677727120000005E-5</v>
          </cell>
        </row>
        <row r="168">
          <cell r="H168" t="str">
            <v>Caminhão leve a etanol</v>
          </cell>
          <cell r="I168">
            <v>1.1779999999999999</v>
          </cell>
          <cell r="J168">
            <v>1.1779999999999999</v>
          </cell>
          <cell r="K168">
            <v>1.1779999999999999</v>
          </cell>
          <cell r="L168">
            <v>1.1779999999999999</v>
          </cell>
          <cell r="M168">
            <v>1.1779999999999999</v>
          </cell>
          <cell r="N168">
            <v>1.1779999999999999</v>
          </cell>
          <cell r="O168">
            <v>1.1779999999999999</v>
          </cell>
          <cell r="P168">
            <v>1.1779999999999999</v>
          </cell>
          <cell r="Q168">
            <v>1.1779999999999999</v>
          </cell>
          <cell r="R168">
            <v>1.1779999999999999</v>
          </cell>
          <cell r="S168">
            <v>1.1779999999999999</v>
          </cell>
          <cell r="T168">
            <v>1.1779999999999999</v>
          </cell>
          <cell r="U168">
            <v>1.1779999999999999</v>
          </cell>
          <cell r="V168">
            <v>1.1779999999999999</v>
          </cell>
          <cell r="W168">
            <v>1.1779999999999999</v>
          </cell>
          <cell r="X168">
            <v>1.1779999999999999</v>
          </cell>
          <cell r="Y168">
            <v>1.1779999999999999</v>
          </cell>
          <cell r="Z168">
            <v>1.1779999999999999</v>
          </cell>
          <cell r="AA168">
            <v>1.1779999999999999</v>
          </cell>
          <cell r="AB168">
            <v>1.1779999999999999</v>
          </cell>
          <cell r="AC168">
            <v>1.1779999999999999</v>
          </cell>
          <cell r="AD168">
            <v>1.1779999999999999</v>
          </cell>
          <cell r="AE168">
            <v>1.1779999999999999</v>
          </cell>
          <cell r="AF168">
            <v>1.5790759034400002E-4</v>
          </cell>
          <cell r="AG168">
            <v>1.5790759034400002E-4</v>
          </cell>
          <cell r="AH168">
            <v>1.5790759034400002E-4</v>
          </cell>
          <cell r="AI168">
            <v>1.5790759034400002E-4</v>
          </cell>
          <cell r="AJ168">
            <v>1.5790759034400002E-4</v>
          </cell>
          <cell r="AK168">
            <v>1.5790759034400002E-4</v>
          </cell>
          <cell r="AL168">
            <v>1.5790759034400002E-4</v>
          </cell>
          <cell r="AM168">
            <v>1.5790759034400002E-4</v>
          </cell>
          <cell r="AN168">
            <v>1.5790759034400002E-4</v>
          </cell>
          <cell r="AO168">
            <v>1.5790759034400002E-4</v>
          </cell>
          <cell r="AP168">
            <v>1.5790759034400002E-4</v>
          </cell>
          <cell r="AQ168">
            <v>1.5790759034400002E-4</v>
          </cell>
          <cell r="AR168">
            <v>1.5790759034400002E-4</v>
          </cell>
          <cell r="AS168">
            <v>1.5790759034400002E-4</v>
          </cell>
          <cell r="AT168">
            <v>1.5790759034400002E-4</v>
          </cell>
          <cell r="AU168">
            <v>1.5790759034400002E-4</v>
          </cell>
          <cell r="AV168">
            <v>1.5790759034400002E-4</v>
          </cell>
          <cell r="AW168">
            <v>1.5790759034400002E-4</v>
          </cell>
          <cell r="AX168">
            <v>1.5790759034400002E-4</v>
          </cell>
          <cell r="AY168">
            <v>1.5790759034400002E-4</v>
          </cell>
          <cell r="AZ168">
            <v>1.5790759034400002E-4</v>
          </cell>
          <cell r="BA168">
            <v>1.5790759034400002E-4</v>
          </cell>
          <cell r="BB168">
            <v>1.5790759034400002E-4</v>
          </cell>
          <cell r="BC168">
            <v>4.2677727120000005E-5</v>
          </cell>
          <cell r="BD168">
            <v>4.2677727120000005E-5</v>
          </cell>
          <cell r="BE168">
            <v>4.2677727120000005E-5</v>
          </cell>
          <cell r="BF168">
            <v>4.2677727120000005E-5</v>
          </cell>
          <cell r="BG168">
            <v>4.2677727120000005E-5</v>
          </cell>
          <cell r="BH168">
            <v>4.2677727120000005E-5</v>
          </cell>
          <cell r="BI168">
            <v>4.2677727120000005E-5</v>
          </cell>
          <cell r="BJ168">
            <v>4.2677727120000005E-5</v>
          </cell>
          <cell r="BK168">
            <v>4.2677727120000005E-5</v>
          </cell>
          <cell r="BL168">
            <v>4.2677727120000005E-5</v>
          </cell>
          <cell r="BM168">
            <v>4.2677727120000005E-5</v>
          </cell>
          <cell r="BN168">
            <v>4.2677727120000005E-5</v>
          </cell>
          <cell r="BO168">
            <v>4.2677727120000005E-5</v>
          </cell>
          <cell r="BP168">
            <v>4.2677727120000005E-5</v>
          </cell>
          <cell r="BQ168">
            <v>4.2677727120000005E-5</v>
          </cell>
          <cell r="BR168">
            <v>4.2677727120000005E-5</v>
          </cell>
          <cell r="BS168">
            <v>4.2677727120000005E-5</v>
          </cell>
          <cell r="BT168">
            <v>4.2677727120000005E-5</v>
          </cell>
          <cell r="BU168">
            <v>4.2677727120000005E-5</v>
          </cell>
          <cell r="BV168">
            <v>4.2677727120000005E-5</v>
          </cell>
          <cell r="BW168">
            <v>4.2677727120000005E-5</v>
          </cell>
          <cell r="BX168">
            <v>4.2677727120000005E-5</v>
          </cell>
          <cell r="BY168">
            <v>4.2677727120000005E-5</v>
          </cell>
        </row>
        <row r="169">
          <cell r="H169" t="str">
            <v>Caminhão médio a etanol</v>
          </cell>
          <cell r="I169">
            <v>1.1779999999999999</v>
          </cell>
          <cell r="J169">
            <v>1.1779999999999999</v>
          </cell>
          <cell r="K169">
            <v>1.1779999999999999</v>
          </cell>
          <cell r="L169">
            <v>1.1779999999999999</v>
          </cell>
          <cell r="M169">
            <v>1.1779999999999999</v>
          </cell>
          <cell r="N169">
            <v>1.1779999999999999</v>
          </cell>
          <cell r="O169">
            <v>1.1779999999999999</v>
          </cell>
          <cell r="P169">
            <v>1.1779999999999999</v>
          </cell>
          <cell r="Q169">
            <v>1.1779999999999999</v>
          </cell>
          <cell r="R169">
            <v>1.1779999999999999</v>
          </cell>
          <cell r="S169">
            <v>1.1779999999999999</v>
          </cell>
          <cell r="T169">
            <v>1.1779999999999999</v>
          </cell>
          <cell r="U169">
            <v>1.1779999999999999</v>
          </cell>
          <cell r="V169">
            <v>1.1779999999999999</v>
          </cell>
          <cell r="W169">
            <v>1.1779999999999999</v>
          </cell>
          <cell r="X169">
            <v>1.1779999999999999</v>
          </cell>
          <cell r="Y169">
            <v>1.1779999999999999</v>
          </cell>
          <cell r="Z169">
            <v>1.1779999999999999</v>
          </cell>
          <cell r="AA169">
            <v>1.1779999999999999</v>
          </cell>
          <cell r="AB169">
            <v>1.1779999999999999</v>
          </cell>
          <cell r="AC169">
            <v>1.1779999999999999</v>
          </cell>
          <cell r="AD169">
            <v>1.1779999999999999</v>
          </cell>
          <cell r="AE169">
            <v>1.1779999999999999</v>
          </cell>
          <cell r="AF169">
            <v>1.5790759034400002E-4</v>
          </cell>
          <cell r="AG169">
            <v>1.5790759034400002E-4</v>
          </cell>
          <cell r="AH169">
            <v>1.5790759034400002E-4</v>
          </cell>
          <cell r="AI169">
            <v>1.5790759034400002E-4</v>
          </cell>
          <cell r="AJ169">
            <v>1.5790759034400002E-4</v>
          </cell>
          <cell r="AK169">
            <v>1.5790759034400002E-4</v>
          </cell>
          <cell r="AL169">
            <v>1.5790759034400002E-4</v>
          </cell>
          <cell r="AM169">
            <v>1.5790759034400002E-4</v>
          </cell>
          <cell r="AN169">
            <v>1.5790759034400002E-4</v>
          </cell>
          <cell r="AO169">
            <v>1.5790759034400002E-4</v>
          </cell>
          <cell r="AP169">
            <v>1.5790759034400002E-4</v>
          </cell>
          <cell r="AQ169">
            <v>1.5790759034400002E-4</v>
          </cell>
          <cell r="AR169">
            <v>1.5790759034400002E-4</v>
          </cell>
          <cell r="AS169">
            <v>1.5790759034400002E-4</v>
          </cell>
          <cell r="AT169">
            <v>1.5790759034400002E-4</v>
          </cell>
          <cell r="AU169">
            <v>1.5790759034400002E-4</v>
          </cell>
          <cell r="AV169">
            <v>1.5790759034400002E-4</v>
          </cell>
          <cell r="AW169">
            <v>1.5790759034400002E-4</v>
          </cell>
          <cell r="AX169">
            <v>1.5790759034400002E-4</v>
          </cell>
          <cell r="AY169">
            <v>1.5790759034400002E-4</v>
          </cell>
          <cell r="AZ169">
            <v>1.5790759034400002E-4</v>
          </cell>
          <cell r="BA169">
            <v>1.5790759034400002E-4</v>
          </cell>
          <cell r="BB169">
            <v>1.5790759034400002E-4</v>
          </cell>
          <cell r="BC169">
            <v>4.2677727120000005E-5</v>
          </cell>
          <cell r="BD169">
            <v>4.2677727120000005E-5</v>
          </cell>
          <cell r="BE169">
            <v>4.2677727120000005E-5</v>
          </cell>
          <cell r="BF169">
            <v>4.2677727120000005E-5</v>
          </cell>
          <cell r="BG169">
            <v>4.2677727120000005E-5</v>
          </cell>
          <cell r="BH169">
            <v>4.2677727120000005E-5</v>
          </cell>
          <cell r="BI169">
            <v>4.2677727120000005E-5</v>
          </cell>
          <cell r="BJ169">
            <v>4.2677727120000005E-5</v>
          </cell>
          <cell r="BK169">
            <v>4.2677727120000005E-5</v>
          </cell>
          <cell r="BL169">
            <v>4.2677727120000005E-5</v>
          </cell>
          <cell r="BM169">
            <v>4.2677727120000005E-5</v>
          </cell>
          <cell r="BN169">
            <v>4.2677727120000005E-5</v>
          </cell>
          <cell r="BO169">
            <v>4.2677727120000005E-5</v>
          </cell>
          <cell r="BP169">
            <v>4.2677727120000005E-5</v>
          </cell>
          <cell r="BQ169">
            <v>4.2677727120000005E-5</v>
          </cell>
          <cell r="BR169">
            <v>4.2677727120000005E-5</v>
          </cell>
          <cell r="BS169">
            <v>4.2677727120000005E-5</v>
          </cell>
          <cell r="BT169">
            <v>4.2677727120000005E-5</v>
          </cell>
          <cell r="BU169">
            <v>4.2677727120000005E-5</v>
          </cell>
          <cell r="BV169">
            <v>4.2677727120000005E-5</v>
          </cell>
          <cell r="BW169">
            <v>4.2677727120000005E-5</v>
          </cell>
          <cell r="BX169">
            <v>4.2677727120000005E-5</v>
          </cell>
          <cell r="BY169">
            <v>4.2677727120000005E-5</v>
          </cell>
        </row>
        <row r="170">
          <cell r="H170" t="str">
            <v>Caminhão pesado a etanol</v>
          </cell>
          <cell r="I170">
            <v>1.1779999999999999</v>
          </cell>
          <cell r="J170">
            <v>1.1779999999999999</v>
          </cell>
          <cell r="K170">
            <v>1.1779999999999999</v>
          </cell>
          <cell r="L170">
            <v>1.1779999999999999</v>
          </cell>
          <cell r="M170">
            <v>1.1779999999999999</v>
          </cell>
          <cell r="N170">
            <v>1.1779999999999999</v>
          </cell>
          <cell r="O170">
            <v>1.1779999999999999</v>
          </cell>
          <cell r="P170">
            <v>1.1779999999999999</v>
          </cell>
          <cell r="Q170">
            <v>1.1779999999999999</v>
          </cell>
          <cell r="R170">
            <v>1.1779999999999999</v>
          </cell>
          <cell r="S170">
            <v>1.1779999999999999</v>
          </cell>
          <cell r="T170">
            <v>1.1779999999999999</v>
          </cell>
          <cell r="U170">
            <v>1.1779999999999999</v>
          </cell>
          <cell r="V170">
            <v>1.1779999999999999</v>
          </cell>
          <cell r="W170">
            <v>1.1779999999999999</v>
          </cell>
          <cell r="X170">
            <v>1.1779999999999999</v>
          </cell>
          <cell r="Y170">
            <v>1.1779999999999999</v>
          </cell>
          <cell r="Z170">
            <v>1.1779999999999999</v>
          </cell>
          <cell r="AA170">
            <v>1.1779999999999999</v>
          </cell>
          <cell r="AB170">
            <v>1.1779999999999999</v>
          </cell>
          <cell r="AC170">
            <v>1.1779999999999999</v>
          </cell>
          <cell r="AD170">
            <v>1.1779999999999999</v>
          </cell>
          <cell r="AE170">
            <v>1.1779999999999999</v>
          </cell>
          <cell r="AF170">
            <v>1.5790759034400002E-4</v>
          </cell>
          <cell r="AG170">
            <v>1.5790759034400002E-4</v>
          </cell>
          <cell r="AH170">
            <v>1.5790759034400002E-4</v>
          </cell>
          <cell r="AI170">
            <v>1.5790759034400002E-4</v>
          </cell>
          <cell r="AJ170">
            <v>1.5790759034400002E-4</v>
          </cell>
          <cell r="AK170">
            <v>1.5790759034400002E-4</v>
          </cell>
          <cell r="AL170">
            <v>1.5790759034400002E-4</v>
          </cell>
          <cell r="AM170">
            <v>1.5790759034400002E-4</v>
          </cell>
          <cell r="AN170">
            <v>1.5790759034400002E-4</v>
          </cell>
          <cell r="AO170">
            <v>1.5790759034400002E-4</v>
          </cell>
          <cell r="AP170">
            <v>1.5790759034400002E-4</v>
          </cell>
          <cell r="AQ170">
            <v>1.5790759034400002E-4</v>
          </cell>
          <cell r="AR170">
            <v>1.5790759034400002E-4</v>
          </cell>
          <cell r="AS170">
            <v>1.5790759034400002E-4</v>
          </cell>
          <cell r="AT170">
            <v>1.5790759034400002E-4</v>
          </cell>
          <cell r="AU170">
            <v>1.5790759034400002E-4</v>
          </cell>
          <cell r="AV170">
            <v>1.5790759034400002E-4</v>
          </cell>
          <cell r="AW170">
            <v>1.5790759034400002E-4</v>
          </cell>
          <cell r="AX170">
            <v>1.5790759034400002E-4</v>
          </cell>
          <cell r="AY170">
            <v>1.5790759034400002E-4</v>
          </cell>
          <cell r="AZ170">
            <v>1.5790759034400002E-4</v>
          </cell>
          <cell r="BA170">
            <v>1.5790759034400002E-4</v>
          </cell>
          <cell r="BB170">
            <v>1.5790759034400002E-4</v>
          </cell>
          <cell r="BC170">
            <v>4.2677727120000005E-5</v>
          </cell>
          <cell r="BD170">
            <v>4.2677727120000005E-5</v>
          </cell>
          <cell r="BE170">
            <v>4.2677727120000005E-5</v>
          </cell>
          <cell r="BF170">
            <v>4.2677727120000005E-5</v>
          </cell>
          <cell r="BG170">
            <v>4.2677727120000005E-5</v>
          </cell>
          <cell r="BH170">
            <v>4.2677727120000005E-5</v>
          </cell>
          <cell r="BI170">
            <v>4.2677727120000005E-5</v>
          </cell>
          <cell r="BJ170">
            <v>4.2677727120000005E-5</v>
          </cell>
          <cell r="BK170">
            <v>4.2677727120000005E-5</v>
          </cell>
          <cell r="BL170">
            <v>4.2677727120000005E-5</v>
          </cell>
          <cell r="BM170">
            <v>4.2677727120000005E-5</v>
          </cell>
          <cell r="BN170">
            <v>4.2677727120000005E-5</v>
          </cell>
          <cell r="BO170">
            <v>4.2677727120000005E-5</v>
          </cell>
          <cell r="BP170">
            <v>4.2677727120000005E-5</v>
          </cell>
          <cell r="BQ170">
            <v>4.2677727120000005E-5</v>
          </cell>
          <cell r="BR170">
            <v>4.2677727120000005E-5</v>
          </cell>
          <cell r="BS170">
            <v>4.2677727120000005E-5</v>
          </cell>
          <cell r="BT170">
            <v>4.2677727120000005E-5</v>
          </cell>
          <cell r="BU170">
            <v>4.2677727120000005E-5</v>
          </cell>
          <cell r="BV170">
            <v>4.2677727120000005E-5</v>
          </cell>
          <cell r="BW170">
            <v>4.2677727120000005E-5</v>
          </cell>
          <cell r="BX170">
            <v>4.2677727120000005E-5</v>
          </cell>
          <cell r="BY170">
            <v>4.2677727120000005E-5</v>
          </cell>
        </row>
        <row r="176">
          <cell r="E176">
            <v>1990</v>
          </cell>
          <cell r="F176">
            <v>1991</v>
          </cell>
          <cell r="G176">
            <v>1992</v>
          </cell>
          <cell r="H176">
            <v>1993</v>
          </cell>
          <cell r="I176">
            <v>1994</v>
          </cell>
          <cell r="J176">
            <v>1995</v>
          </cell>
          <cell r="K176">
            <v>1996</v>
          </cell>
          <cell r="L176">
            <v>1997</v>
          </cell>
          <cell r="M176">
            <v>1998</v>
          </cell>
          <cell r="N176">
            <v>1999</v>
          </cell>
          <cell r="O176">
            <v>2000</v>
          </cell>
          <cell r="P176">
            <v>2001</v>
          </cell>
          <cell r="Q176">
            <v>2002</v>
          </cell>
          <cell r="R176">
            <v>2003</v>
          </cell>
          <cell r="S176">
            <v>2004</v>
          </cell>
          <cell r="T176">
            <v>2005</v>
          </cell>
          <cell r="U176">
            <v>2006</v>
          </cell>
          <cell r="V176">
            <v>2007</v>
          </cell>
          <cell r="W176">
            <v>2008</v>
          </cell>
          <cell r="X176">
            <v>2009</v>
          </cell>
          <cell r="Y176">
            <v>2010</v>
          </cell>
          <cell r="Z176">
            <v>2011</v>
          </cell>
          <cell r="AA176">
            <v>2012</v>
          </cell>
        </row>
        <row r="177">
          <cell r="E177">
            <v>3</v>
          </cell>
          <cell r="F177">
            <v>4</v>
          </cell>
          <cell r="G177">
            <v>5</v>
          </cell>
          <cell r="H177">
            <v>6</v>
          </cell>
          <cell r="I177">
            <v>7</v>
          </cell>
          <cell r="J177">
            <v>8</v>
          </cell>
          <cell r="K177">
            <v>9</v>
          </cell>
          <cell r="L177">
            <v>10</v>
          </cell>
          <cell r="M177">
            <v>11</v>
          </cell>
          <cell r="N177">
            <v>12</v>
          </cell>
          <cell r="O177">
            <v>13</v>
          </cell>
          <cell r="P177">
            <v>14</v>
          </cell>
          <cell r="Q177">
            <v>15</v>
          </cell>
          <cell r="R177">
            <v>16</v>
          </cell>
          <cell r="S177">
            <v>17</v>
          </cell>
          <cell r="T177">
            <v>18</v>
          </cell>
          <cell r="U177">
            <v>19</v>
          </cell>
          <cell r="V177">
            <v>20</v>
          </cell>
          <cell r="W177">
            <v>21</v>
          </cell>
          <cell r="X177">
            <v>22</v>
          </cell>
          <cell r="Y177">
            <v>23</v>
          </cell>
          <cell r="Z177">
            <v>24</v>
          </cell>
          <cell r="AA177">
            <v>25</v>
          </cell>
        </row>
        <row r="178">
          <cell r="C178" t="str">
            <v>Veículo de passeio a gasolina</v>
          </cell>
          <cell r="D178" t="str">
            <v>km/Litro</v>
          </cell>
          <cell r="E178">
            <v>11.82</v>
          </cell>
          <cell r="F178">
            <v>11.82</v>
          </cell>
          <cell r="G178">
            <v>10.98</v>
          </cell>
          <cell r="H178">
            <v>10.98</v>
          </cell>
          <cell r="I178">
            <v>10.039999999999999</v>
          </cell>
          <cell r="J178">
            <v>10.039999999999999</v>
          </cell>
          <cell r="K178">
            <v>11.04</v>
          </cell>
          <cell r="L178">
            <v>11.04</v>
          </cell>
          <cell r="M178">
            <v>11.82</v>
          </cell>
          <cell r="N178">
            <v>11.82</v>
          </cell>
          <cell r="O178">
            <v>11.89</v>
          </cell>
          <cell r="P178">
            <v>11.97</v>
          </cell>
          <cell r="Q178">
            <v>10.9</v>
          </cell>
          <cell r="R178">
            <v>11.2</v>
          </cell>
          <cell r="S178">
            <v>11.4</v>
          </cell>
          <cell r="T178">
            <v>11.3</v>
          </cell>
          <cell r="U178">
            <v>11.3</v>
          </cell>
          <cell r="V178">
            <v>11.3</v>
          </cell>
          <cell r="W178">
            <v>9.74</v>
          </cell>
          <cell r="X178">
            <v>9.5</v>
          </cell>
          <cell r="Y178">
            <v>9.5</v>
          </cell>
          <cell r="Z178">
            <v>9.5</v>
          </cell>
          <cell r="AA178">
            <v>9.5</v>
          </cell>
        </row>
        <row r="179">
          <cell r="C179" t="str">
            <v>Veículo de passeio a etanol</v>
          </cell>
          <cell r="D179" t="str">
            <v>km/Litro</v>
          </cell>
          <cell r="E179">
            <v>8.65</v>
          </cell>
          <cell r="F179">
            <v>8.65</v>
          </cell>
          <cell r="G179">
            <v>8.01</v>
          </cell>
          <cell r="H179">
            <v>8.5399999999999991</v>
          </cell>
          <cell r="I179">
            <v>7.54</v>
          </cell>
          <cell r="J179">
            <v>7.54</v>
          </cell>
          <cell r="K179">
            <v>7.17</v>
          </cell>
          <cell r="L179">
            <v>7.17</v>
          </cell>
          <cell r="M179">
            <v>7.41</v>
          </cell>
          <cell r="N179">
            <v>8.01</v>
          </cell>
          <cell r="O179">
            <v>6.96</v>
          </cell>
          <cell r="P179">
            <v>6.96</v>
          </cell>
          <cell r="Q179">
            <v>7.2</v>
          </cell>
          <cell r="R179">
            <v>7.5</v>
          </cell>
          <cell r="S179">
            <v>8.6</v>
          </cell>
          <cell r="T179">
            <v>8.6</v>
          </cell>
          <cell r="U179">
            <v>6.9</v>
          </cell>
          <cell r="V179">
            <v>6.9</v>
          </cell>
          <cell r="W179">
            <v>6.9</v>
          </cell>
          <cell r="X179">
            <v>6.9</v>
          </cell>
          <cell r="Y179">
            <v>6.9</v>
          </cell>
          <cell r="Z179">
            <v>6.9</v>
          </cell>
          <cell r="AA179">
            <v>6.9</v>
          </cell>
        </row>
        <row r="180">
          <cell r="C180" t="str">
            <v>Veículo de passeio a Diesel</v>
          </cell>
          <cell r="D180" t="str">
            <v>km/Litro</v>
          </cell>
          <cell r="E180">
            <v>9.09</v>
          </cell>
          <cell r="F180">
            <v>9.09</v>
          </cell>
          <cell r="G180">
            <v>9.09</v>
          </cell>
          <cell r="H180">
            <v>9.09</v>
          </cell>
          <cell r="I180">
            <v>9.09</v>
          </cell>
          <cell r="J180">
            <v>9.09</v>
          </cell>
          <cell r="K180">
            <v>9.09</v>
          </cell>
          <cell r="L180">
            <v>9.09</v>
          </cell>
          <cell r="M180">
            <v>9.09</v>
          </cell>
          <cell r="N180">
            <v>9.09</v>
          </cell>
          <cell r="O180">
            <v>9.09</v>
          </cell>
          <cell r="P180">
            <v>9.09</v>
          </cell>
          <cell r="Q180">
            <v>9.09</v>
          </cell>
          <cell r="R180">
            <v>9.09</v>
          </cell>
          <cell r="S180">
            <v>9.09</v>
          </cell>
          <cell r="T180">
            <v>9.09</v>
          </cell>
          <cell r="U180">
            <v>9.09</v>
          </cell>
          <cell r="V180">
            <v>9.09</v>
          </cell>
          <cell r="W180">
            <v>9.09</v>
          </cell>
          <cell r="X180">
            <v>9.09</v>
          </cell>
          <cell r="Y180">
            <v>9.09</v>
          </cell>
          <cell r="Z180">
            <v>9.09</v>
          </cell>
          <cell r="AA180">
            <v>9.09</v>
          </cell>
        </row>
        <row r="181">
          <cell r="C181" t="str">
            <v>Veículo de passeio flex a gasolina</v>
          </cell>
          <cell r="D181" t="str">
            <v>km/Litro</v>
          </cell>
          <cell r="E181" t="str">
            <v>-</v>
          </cell>
          <cell r="F181" t="str">
            <v>-</v>
          </cell>
          <cell r="G181" t="str">
            <v>-</v>
          </cell>
          <cell r="H181" t="str">
            <v>-</v>
          </cell>
          <cell r="I181" t="str">
            <v>-</v>
          </cell>
          <cell r="J181" t="str">
            <v>-</v>
          </cell>
          <cell r="K181" t="str">
            <v>-</v>
          </cell>
          <cell r="L181" t="str">
            <v>-</v>
          </cell>
          <cell r="M181" t="str">
            <v>-</v>
          </cell>
          <cell r="N181" t="str">
            <v>-</v>
          </cell>
          <cell r="O181" t="str">
            <v>-</v>
          </cell>
          <cell r="P181" t="str">
            <v>-</v>
          </cell>
          <cell r="Q181" t="str">
            <v>-</v>
          </cell>
          <cell r="R181">
            <v>10.3</v>
          </cell>
          <cell r="S181">
            <v>10.8</v>
          </cell>
          <cell r="T181">
            <v>11.5</v>
          </cell>
          <cell r="U181">
            <v>11.7</v>
          </cell>
          <cell r="V181">
            <v>11.7</v>
          </cell>
          <cell r="W181">
            <v>11.7</v>
          </cell>
          <cell r="X181">
            <v>12</v>
          </cell>
          <cell r="Y181">
            <v>12</v>
          </cell>
          <cell r="Z181">
            <v>12</v>
          </cell>
          <cell r="AA181">
            <v>12</v>
          </cell>
        </row>
        <row r="182">
          <cell r="C182" t="str">
            <v>Veículo de passeio flex a etanol</v>
          </cell>
          <cell r="D182" t="str">
            <v>km/Litro</v>
          </cell>
          <cell r="E182" t="str">
            <v>-</v>
          </cell>
          <cell r="F182" t="str">
            <v>-</v>
          </cell>
          <cell r="G182" t="str">
            <v>-</v>
          </cell>
          <cell r="H182" t="str">
            <v>-</v>
          </cell>
          <cell r="I182" t="str">
            <v>-</v>
          </cell>
          <cell r="J182" t="str">
            <v>-</v>
          </cell>
          <cell r="K182" t="str">
            <v>-</v>
          </cell>
          <cell r="L182" t="str">
            <v>-</v>
          </cell>
          <cell r="M182" t="str">
            <v>-</v>
          </cell>
          <cell r="N182" t="str">
            <v>-</v>
          </cell>
          <cell r="O182" t="str">
            <v>-</v>
          </cell>
          <cell r="P182" t="str">
            <v>-</v>
          </cell>
          <cell r="Q182" t="str">
            <v>-</v>
          </cell>
          <cell r="R182">
            <v>6.9</v>
          </cell>
          <cell r="S182">
            <v>7.3</v>
          </cell>
          <cell r="T182">
            <v>7.7</v>
          </cell>
          <cell r="U182">
            <v>7.8</v>
          </cell>
          <cell r="V182">
            <v>7.8</v>
          </cell>
          <cell r="W182">
            <v>7.38</v>
          </cell>
          <cell r="X182">
            <v>8</v>
          </cell>
          <cell r="Y182">
            <v>8</v>
          </cell>
          <cell r="Z182">
            <v>8</v>
          </cell>
          <cell r="AA182">
            <v>8</v>
          </cell>
        </row>
        <row r="183">
          <cell r="C183" t="str">
            <v>Motocicletas a gasolina</v>
          </cell>
          <cell r="D183" t="str">
            <v>km/Litro</v>
          </cell>
          <cell r="E183">
            <v>40</v>
          </cell>
          <cell r="F183">
            <v>40</v>
          </cell>
          <cell r="G183">
            <v>40</v>
          </cell>
          <cell r="H183">
            <v>40</v>
          </cell>
          <cell r="I183">
            <v>40</v>
          </cell>
          <cell r="J183">
            <v>40</v>
          </cell>
          <cell r="K183">
            <v>40</v>
          </cell>
          <cell r="L183">
            <v>40</v>
          </cell>
          <cell r="M183">
            <v>40</v>
          </cell>
          <cell r="N183">
            <v>40</v>
          </cell>
          <cell r="O183">
            <v>40</v>
          </cell>
          <cell r="P183">
            <v>40</v>
          </cell>
          <cell r="Q183">
            <v>40</v>
          </cell>
          <cell r="R183">
            <v>40</v>
          </cell>
          <cell r="S183">
            <v>40</v>
          </cell>
          <cell r="T183">
            <v>40</v>
          </cell>
          <cell r="U183">
            <v>40</v>
          </cell>
          <cell r="V183">
            <v>40</v>
          </cell>
          <cell r="W183">
            <v>40</v>
          </cell>
          <cell r="X183">
            <v>40</v>
          </cell>
          <cell r="Y183">
            <v>40</v>
          </cell>
          <cell r="Z183">
            <v>40</v>
          </cell>
          <cell r="AA183">
            <v>40</v>
          </cell>
        </row>
        <row r="184">
          <cell r="C184" t="str">
            <v>Motocicletas flex a gasolina</v>
          </cell>
          <cell r="D184" t="str">
            <v>km/Litro</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v>40</v>
          </cell>
          <cell r="S184">
            <v>40</v>
          </cell>
          <cell r="T184">
            <v>40</v>
          </cell>
          <cell r="U184">
            <v>40</v>
          </cell>
          <cell r="V184">
            <v>40</v>
          </cell>
          <cell r="W184">
            <v>40</v>
          </cell>
          <cell r="X184">
            <v>40</v>
          </cell>
          <cell r="Y184">
            <v>40</v>
          </cell>
          <cell r="Z184">
            <v>40</v>
          </cell>
          <cell r="AA184">
            <v>40</v>
          </cell>
        </row>
        <row r="185">
          <cell r="C185" t="str">
            <v>Motocicletas flex a etanol</v>
          </cell>
          <cell r="D185" t="str">
            <v>km/Litro</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v>25</v>
          </cell>
          <cell r="S185">
            <v>25</v>
          </cell>
          <cell r="T185">
            <v>25</v>
          </cell>
          <cell r="U185">
            <v>25</v>
          </cell>
          <cell r="V185">
            <v>25</v>
          </cell>
          <cell r="W185">
            <v>25</v>
          </cell>
          <cell r="X185">
            <v>25</v>
          </cell>
          <cell r="Y185">
            <v>25</v>
          </cell>
          <cell r="Z185">
            <v>25</v>
          </cell>
          <cell r="AA185">
            <v>25</v>
          </cell>
        </row>
        <row r="186">
          <cell r="C186" t="str">
            <v>Veículo comercial leve a gasolina</v>
          </cell>
          <cell r="D186" t="str">
            <v>km/Litro</v>
          </cell>
          <cell r="E186">
            <v>11.82</v>
          </cell>
          <cell r="F186">
            <v>11.82</v>
          </cell>
          <cell r="G186">
            <v>10.98</v>
          </cell>
          <cell r="H186">
            <v>10.98</v>
          </cell>
          <cell r="I186">
            <v>10.039999999999999</v>
          </cell>
          <cell r="J186">
            <v>10.039999999999999</v>
          </cell>
          <cell r="K186">
            <v>11.04</v>
          </cell>
          <cell r="L186">
            <v>11.04</v>
          </cell>
          <cell r="M186">
            <v>11.82</v>
          </cell>
          <cell r="N186">
            <v>11.82</v>
          </cell>
          <cell r="O186">
            <v>11.89</v>
          </cell>
          <cell r="P186">
            <v>11.97</v>
          </cell>
          <cell r="Q186">
            <v>10.9</v>
          </cell>
          <cell r="R186">
            <v>11.2</v>
          </cell>
          <cell r="S186">
            <v>11.4</v>
          </cell>
          <cell r="T186">
            <v>11.3</v>
          </cell>
          <cell r="U186">
            <v>11.3</v>
          </cell>
          <cell r="V186">
            <v>11.3</v>
          </cell>
          <cell r="W186">
            <v>9.74</v>
          </cell>
          <cell r="X186">
            <v>9.5</v>
          </cell>
          <cell r="Y186">
            <v>9.5</v>
          </cell>
          <cell r="Z186">
            <v>9.5</v>
          </cell>
          <cell r="AA186">
            <v>9.5</v>
          </cell>
        </row>
        <row r="187">
          <cell r="C187" t="str">
            <v>Veículo comercial leve a etanol</v>
          </cell>
          <cell r="D187" t="str">
            <v>km/Litro</v>
          </cell>
          <cell r="E187">
            <v>8.65</v>
          </cell>
          <cell r="F187">
            <v>8.65</v>
          </cell>
          <cell r="G187">
            <v>8.01</v>
          </cell>
          <cell r="H187">
            <v>8.5399999999999991</v>
          </cell>
          <cell r="I187">
            <v>7.54</v>
          </cell>
          <cell r="J187">
            <v>7.54</v>
          </cell>
          <cell r="K187">
            <v>7.17</v>
          </cell>
          <cell r="L187">
            <v>7.17</v>
          </cell>
          <cell r="M187">
            <v>7.41</v>
          </cell>
          <cell r="N187">
            <v>8.01</v>
          </cell>
          <cell r="O187">
            <v>6.96</v>
          </cell>
          <cell r="P187">
            <v>6.96</v>
          </cell>
          <cell r="Q187">
            <v>7.2</v>
          </cell>
          <cell r="R187">
            <v>7.5</v>
          </cell>
          <cell r="S187">
            <v>8.6</v>
          </cell>
          <cell r="T187">
            <v>8.6</v>
          </cell>
          <cell r="U187">
            <v>6.9</v>
          </cell>
          <cell r="V187">
            <v>6.9</v>
          </cell>
          <cell r="W187">
            <v>6.9</v>
          </cell>
          <cell r="X187">
            <v>6.9</v>
          </cell>
          <cell r="Y187">
            <v>6.9</v>
          </cell>
          <cell r="Z187">
            <v>6.9</v>
          </cell>
          <cell r="AA187">
            <v>6.9</v>
          </cell>
        </row>
        <row r="188">
          <cell r="C188" t="str">
            <v>Veículo comercial leve a Diesel</v>
          </cell>
          <cell r="D188" t="str">
            <v>km/Litro</v>
          </cell>
          <cell r="E188">
            <v>9.09</v>
          </cell>
          <cell r="F188">
            <v>9.09</v>
          </cell>
          <cell r="G188">
            <v>9.09</v>
          </cell>
          <cell r="H188">
            <v>9.09</v>
          </cell>
          <cell r="I188">
            <v>9.09</v>
          </cell>
          <cell r="J188">
            <v>9.09</v>
          </cell>
          <cell r="K188">
            <v>9.09</v>
          </cell>
          <cell r="L188">
            <v>9.09</v>
          </cell>
          <cell r="M188">
            <v>9.09</v>
          </cell>
          <cell r="N188">
            <v>9.09</v>
          </cell>
          <cell r="O188">
            <v>9.09</v>
          </cell>
          <cell r="P188">
            <v>9.09</v>
          </cell>
          <cell r="Q188">
            <v>9.09</v>
          </cell>
          <cell r="R188">
            <v>9.09</v>
          </cell>
          <cell r="S188">
            <v>9.09</v>
          </cell>
          <cell r="T188">
            <v>9.09</v>
          </cell>
          <cell r="U188">
            <v>9.09</v>
          </cell>
          <cell r="V188">
            <v>9.09</v>
          </cell>
          <cell r="W188">
            <v>9.09</v>
          </cell>
          <cell r="X188">
            <v>9.09</v>
          </cell>
          <cell r="Y188">
            <v>9.09</v>
          </cell>
          <cell r="Z188">
            <v>9.09</v>
          </cell>
          <cell r="AA188">
            <v>9.09</v>
          </cell>
        </row>
        <row r="189">
          <cell r="C189" t="str">
            <v>Ônibus rodoviário a Diesel</v>
          </cell>
          <cell r="D189" t="str">
            <v>km/Litro</v>
          </cell>
          <cell r="E189">
            <v>3.03</v>
          </cell>
          <cell r="F189">
            <v>3.03</v>
          </cell>
          <cell r="G189">
            <v>3.03</v>
          </cell>
          <cell r="H189">
            <v>3.03</v>
          </cell>
          <cell r="I189">
            <v>3.03</v>
          </cell>
          <cell r="J189">
            <v>3.03</v>
          </cell>
          <cell r="K189">
            <v>3.03</v>
          </cell>
          <cell r="L189">
            <v>3.03</v>
          </cell>
          <cell r="M189">
            <v>3.03</v>
          </cell>
          <cell r="N189">
            <v>3.03</v>
          </cell>
          <cell r="O189">
            <v>3.03</v>
          </cell>
          <cell r="P189">
            <v>3.03</v>
          </cell>
          <cell r="Q189">
            <v>3.03</v>
          </cell>
          <cell r="R189">
            <v>3.03</v>
          </cell>
          <cell r="S189">
            <v>3.03</v>
          </cell>
          <cell r="T189">
            <v>3.03</v>
          </cell>
          <cell r="U189">
            <v>3.03</v>
          </cell>
          <cell r="V189">
            <v>3.03</v>
          </cell>
          <cell r="W189">
            <v>3.03</v>
          </cell>
          <cell r="X189">
            <v>3.03</v>
          </cell>
          <cell r="Y189">
            <v>3.03</v>
          </cell>
          <cell r="Z189">
            <v>3.03</v>
          </cell>
          <cell r="AA189">
            <v>3.03</v>
          </cell>
        </row>
        <row r="190">
          <cell r="C190" t="str">
            <v>Ônibus urbano a Diesel</v>
          </cell>
          <cell r="D190" t="str">
            <v>km/Litro</v>
          </cell>
          <cell r="E190">
            <v>2.2999999999999998</v>
          </cell>
          <cell r="F190">
            <v>2.2999999999999998</v>
          </cell>
          <cell r="G190">
            <v>2.2999999999999998</v>
          </cell>
          <cell r="H190">
            <v>2.2999999999999998</v>
          </cell>
          <cell r="I190">
            <v>2.2999999999999998</v>
          </cell>
          <cell r="J190">
            <v>2.2999999999999998</v>
          </cell>
          <cell r="K190">
            <v>2.2999999999999998</v>
          </cell>
          <cell r="L190">
            <v>2.2999999999999998</v>
          </cell>
          <cell r="M190">
            <v>2.2999999999999998</v>
          </cell>
          <cell r="N190">
            <v>2.2999999999999998</v>
          </cell>
          <cell r="O190">
            <v>2.2999999999999998</v>
          </cell>
          <cell r="P190">
            <v>2.2999999999999998</v>
          </cell>
          <cell r="Q190">
            <v>2.2999999999999998</v>
          </cell>
          <cell r="R190">
            <v>2.2999999999999998</v>
          </cell>
          <cell r="S190">
            <v>2.2999999999999998</v>
          </cell>
          <cell r="T190">
            <v>2.2999999999999998</v>
          </cell>
          <cell r="U190">
            <v>2.2999999999999998</v>
          </cell>
          <cell r="V190">
            <v>2.2999999999999998</v>
          </cell>
          <cell r="W190">
            <v>2.2999999999999998</v>
          </cell>
          <cell r="X190">
            <v>2.2999999999999998</v>
          </cell>
          <cell r="Y190">
            <v>2.2999999999999998</v>
          </cell>
          <cell r="Z190">
            <v>2.2999999999999998</v>
          </cell>
          <cell r="AA190">
            <v>2.2999999999999998</v>
          </cell>
        </row>
        <row r="191">
          <cell r="C191" t="str">
            <v>Veículo leve a GNV</v>
          </cell>
          <cell r="D191" t="str">
            <v>km/m³</v>
          </cell>
          <cell r="E191">
            <v>14.5</v>
          </cell>
          <cell r="F191">
            <v>14.5</v>
          </cell>
          <cell r="G191">
            <v>14.5</v>
          </cell>
          <cell r="H191">
            <v>14.5</v>
          </cell>
          <cell r="I191">
            <v>14.5</v>
          </cell>
          <cell r="J191">
            <v>14.5</v>
          </cell>
          <cell r="K191">
            <v>14.5</v>
          </cell>
          <cell r="L191">
            <v>14.5</v>
          </cell>
          <cell r="M191">
            <v>14.5</v>
          </cell>
          <cell r="N191">
            <v>14.5</v>
          </cell>
          <cell r="O191">
            <v>14.5</v>
          </cell>
          <cell r="P191">
            <v>14.5</v>
          </cell>
          <cell r="Q191">
            <v>14.5</v>
          </cell>
          <cell r="R191">
            <v>14.5</v>
          </cell>
          <cell r="S191">
            <v>14.5</v>
          </cell>
          <cell r="T191">
            <v>14.5</v>
          </cell>
          <cell r="U191">
            <v>14.5</v>
          </cell>
          <cell r="V191">
            <v>14.5</v>
          </cell>
          <cell r="W191">
            <v>14.5</v>
          </cell>
          <cell r="X191">
            <v>14.5</v>
          </cell>
          <cell r="Y191">
            <v>14.5</v>
          </cell>
          <cell r="Z191">
            <v>14.5</v>
          </cell>
          <cell r="AA191">
            <v>14.5</v>
          </cell>
        </row>
        <row r="192">
          <cell r="C192" t="str">
            <v>Veículo médio a GNV</v>
          </cell>
          <cell r="D192" t="str">
            <v>km/m³</v>
          </cell>
          <cell r="E192">
            <v>13.8</v>
          </cell>
          <cell r="F192">
            <v>13.8</v>
          </cell>
          <cell r="G192">
            <v>13.8</v>
          </cell>
          <cell r="H192">
            <v>13.8</v>
          </cell>
          <cell r="I192">
            <v>13.8</v>
          </cell>
          <cell r="J192">
            <v>13.8</v>
          </cell>
          <cell r="K192">
            <v>13.8</v>
          </cell>
          <cell r="L192">
            <v>13.8</v>
          </cell>
          <cell r="M192">
            <v>13.8</v>
          </cell>
          <cell r="N192">
            <v>13.8</v>
          </cell>
          <cell r="O192">
            <v>13.8</v>
          </cell>
          <cell r="P192">
            <v>13.8</v>
          </cell>
          <cell r="Q192">
            <v>13.8</v>
          </cell>
          <cell r="R192">
            <v>13.8</v>
          </cell>
          <cell r="S192">
            <v>13.8</v>
          </cell>
          <cell r="T192">
            <v>13.8</v>
          </cell>
          <cell r="U192">
            <v>13.8</v>
          </cell>
          <cell r="V192">
            <v>13.8</v>
          </cell>
          <cell r="W192">
            <v>13.8</v>
          </cell>
          <cell r="X192">
            <v>13.8</v>
          </cell>
          <cell r="Y192">
            <v>13.8</v>
          </cell>
          <cell r="Z192">
            <v>13.8</v>
          </cell>
          <cell r="AA192">
            <v>13.8</v>
          </cell>
        </row>
        <row r="193">
          <cell r="C193" t="str">
            <v>Veículo pesado a GNV</v>
          </cell>
          <cell r="D193" t="str">
            <v>km/m³</v>
          </cell>
          <cell r="E193">
            <v>10.9</v>
          </cell>
          <cell r="F193">
            <v>10.9</v>
          </cell>
          <cell r="G193">
            <v>10.9</v>
          </cell>
          <cell r="H193">
            <v>10.9</v>
          </cell>
          <cell r="I193">
            <v>10.9</v>
          </cell>
          <cell r="J193">
            <v>10.9</v>
          </cell>
          <cell r="K193">
            <v>10.9</v>
          </cell>
          <cell r="L193">
            <v>10.9</v>
          </cell>
          <cell r="M193">
            <v>10.9</v>
          </cell>
          <cell r="N193">
            <v>10.9</v>
          </cell>
          <cell r="O193">
            <v>10.9</v>
          </cell>
          <cell r="P193">
            <v>10.9</v>
          </cell>
          <cell r="Q193">
            <v>10.9</v>
          </cell>
          <cell r="R193">
            <v>10.9</v>
          </cell>
          <cell r="S193">
            <v>10.9</v>
          </cell>
          <cell r="T193">
            <v>10.9</v>
          </cell>
          <cell r="U193">
            <v>10.9</v>
          </cell>
          <cell r="V193">
            <v>10.9</v>
          </cell>
          <cell r="W193">
            <v>10.9</v>
          </cell>
          <cell r="X193">
            <v>10.9</v>
          </cell>
          <cell r="Y193">
            <v>10.9</v>
          </cell>
          <cell r="Z193">
            <v>10.9</v>
          </cell>
          <cell r="AA193">
            <v>10.9</v>
          </cell>
        </row>
        <row r="205">
          <cell r="C205" t="str">
            <v>Longa-distância (d ≥ 3.700 km)</v>
          </cell>
          <cell r="D205">
            <v>0.09</v>
          </cell>
          <cell r="E205">
            <v>0.10789</v>
          </cell>
          <cell r="F205">
            <v>4.7619047619047623E-7</v>
          </cell>
          <cell r="G205">
            <v>3.4193548387096773E-6</v>
          </cell>
        </row>
        <row r="206">
          <cell r="C206" t="str">
            <v>Média-distância (500 ≤ d  &lt;3.700 km)</v>
          </cell>
          <cell r="D206">
            <v>0.09</v>
          </cell>
          <cell r="E206">
            <v>9.4289999999999999E-2</v>
          </cell>
          <cell r="F206">
            <v>4.7619047619047623E-7</v>
          </cell>
          <cell r="G206">
            <v>3.0000000000000001E-6</v>
          </cell>
        </row>
        <row r="207">
          <cell r="C207" t="str">
            <v>Curta-distância (d &lt; 500 km)</v>
          </cell>
          <cell r="D207">
            <v>0.09</v>
          </cell>
          <cell r="E207">
            <v>0.16513</v>
          </cell>
          <cell r="F207">
            <v>4.7619047619047624E-6</v>
          </cell>
          <cell r="G207">
            <v>5.2580645161290321E-6</v>
          </cell>
        </row>
        <row r="214">
          <cell r="C214" t="str">
            <v>CO2</v>
          </cell>
          <cell r="E214">
            <v>1</v>
          </cell>
        </row>
        <row r="215">
          <cell r="C215" t="str">
            <v>CH4</v>
          </cell>
          <cell r="E215">
            <v>21</v>
          </cell>
        </row>
        <row r="216">
          <cell r="C216" t="str">
            <v>N2O</v>
          </cell>
          <cell r="E216">
            <v>310</v>
          </cell>
        </row>
        <row r="217">
          <cell r="C217" t="str">
            <v>HFC-23</v>
          </cell>
        </row>
        <row r="218">
          <cell r="C218" t="str">
            <v>HFC-32</v>
          </cell>
        </row>
        <row r="219">
          <cell r="C219" t="str">
            <v>HFC-41</v>
          </cell>
        </row>
        <row r="220">
          <cell r="C220" t="str">
            <v>HFC-43-10mee</v>
          </cell>
        </row>
        <row r="221">
          <cell r="C221" t="str">
            <v>HFC-125</v>
          </cell>
        </row>
        <row r="222">
          <cell r="C222" t="str">
            <v>HFC-134</v>
          </cell>
        </row>
        <row r="223">
          <cell r="C223" t="str">
            <v>HFC-134a</v>
          </cell>
        </row>
        <row r="224">
          <cell r="C224" t="str">
            <v>HFC-143</v>
          </cell>
        </row>
        <row r="225">
          <cell r="C225" t="str">
            <v>HFC-143a</v>
          </cell>
        </row>
        <row r="226">
          <cell r="C226" t="str">
            <v>HFC-152</v>
          </cell>
        </row>
        <row r="227">
          <cell r="C227" t="str">
            <v>HFC-152a</v>
          </cell>
        </row>
        <row r="228">
          <cell r="C228" t="str">
            <v>HFC-161</v>
          </cell>
        </row>
        <row r="229">
          <cell r="C229" t="str">
            <v>HFC-227ea</v>
          </cell>
        </row>
        <row r="230">
          <cell r="C230" t="str">
            <v>HFC-236cb</v>
          </cell>
        </row>
        <row r="231">
          <cell r="C231" t="str">
            <v>HFC-236ea</v>
          </cell>
        </row>
        <row r="232">
          <cell r="C232" t="str">
            <v>HFC-236fa</v>
          </cell>
        </row>
        <row r="233">
          <cell r="C233" t="str">
            <v>HFC-245ca</v>
          </cell>
        </row>
        <row r="234">
          <cell r="C234" t="str">
            <v>HFC-245fa</v>
          </cell>
        </row>
        <row r="235">
          <cell r="C235" t="str">
            <v>HFC-365mfc</v>
          </cell>
        </row>
        <row r="236">
          <cell r="C236" t="str">
            <v>R-401A</v>
          </cell>
        </row>
        <row r="237">
          <cell r="C237" t="str">
            <v>R-401B</v>
          </cell>
        </row>
        <row r="238">
          <cell r="C238" t="str">
            <v>R-401C</v>
          </cell>
        </row>
        <row r="239">
          <cell r="C239" t="str">
            <v>R-402A</v>
          </cell>
        </row>
        <row r="240">
          <cell r="C240" t="str">
            <v>R-402B</v>
          </cell>
        </row>
        <row r="241">
          <cell r="C241" t="str">
            <v>R-403A</v>
          </cell>
        </row>
        <row r="242">
          <cell r="C242" t="str">
            <v>R-403B</v>
          </cell>
        </row>
        <row r="243">
          <cell r="C243" t="str">
            <v>R-404A</v>
          </cell>
        </row>
        <row r="244">
          <cell r="C244" t="str">
            <v>R-406A</v>
          </cell>
        </row>
        <row r="245">
          <cell r="C245" t="str">
            <v>R-407A</v>
          </cell>
        </row>
        <row r="246">
          <cell r="C246" t="str">
            <v>R-407B</v>
          </cell>
        </row>
        <row r="247">
          <cell r="C247" t="str">
            <v>R-407C</v>
          </cell>
        </row>
        <row r="248">
          <cell r="C248" t="str">
            <v>R-407D</v>
          </cell>
        </row>
        <row r="249">
          <cell r="C249" t="str">
            <v>R-407E</v>
          </cell>
        </row>
        <row r="250">
          <cell r="C250" t="str">
            <v>R-408A</v>
          </cell>
        </row>
        <row r="251">
          <cell r="C251" t="str">
            <v>R-409A</v>
          </cell>
        </row>
        <row r="252">
          <cell r="C252" t="str">
            <v>R-409B</v>
          </cell>
        </row>
        <row r="253">
          <cell r="C253" t="str">
            <v>R-410A</v>
          </cell>
        </row>
        <row r="254">
          <cell r="C254" t="str">
            <v>R-410B</v>
          </cell>
        </row>
        <row r="255">
          <cell r="C255" t="str">
            <v>R-411A</v>
          </cell>
        </row>
        <row r="256">
          <cell r="C256" t="str">
            <v>R-411B</v>
          </cell>
        </row>
        <row r="257">
          <cell r="C257" t="str">
            <v>R-412A</v>
          </cell>
        </row>
        <row r="258">
          <cell r="C258" t="str">
            <v>R-413A</v>
          </cell>
        </row>
        <row r="259">
          <cell r="C259" t="str">
            <v>R-414A</v>
          </cell>
        </row>
        <row r="260">
          <cell r="C260" t="str">
            <v>R-414B</v>
          </cell>
        </row>
        <row r="261">
          <cell r="C261" t="str">
            <v>R-415A</v>
          </cell>
        </row>
        <row r="262">
          <cell r="C262" t="str">
            <v>R-415B</v>
          </cell>
        </row>
        <row r="263">
          <cell r="C263" t="str">
            <v>R-416A</v>
          </cell>
        </row>
        <row r="264">
          <cell r="C264" t="str">
            <v>R-417A</v>
          </cell>
        </row>
        <row r="265">
          <cell r="C265" t="str">
            <v>R-418A</v>
          </cell>
        </row>
        <row r="266">
          <cell r="C266" t="str">
            <v>R-419A</v>
          </cell>
        </row>
        <row r="267">
          <cell r="C267" t="str">
            <v>R-420A</v>
          </cell>
        </row>
        <row r="268">
          <cell r="C268" t="str">
            <v>R-500</v>
          </cell>
        </row>
        <row r="269">
          <cell r="C269" t="str">
            <v>R-501</v>
          </cell>
        </row>
        <row r="270">
          <cell r="C270" t="str">
            <v>R-502</v>
          </cell>
        </row>
        <row r="271">
          <cell r="C271" t="str">
            <v>R-503</v>
          </cell>
        </row>
        <row r="272">
          <cell r="C272" t="str">
            <v>R-504</v>
          </cell>
        </row>
        <row r="273">
          <cell r="C273" t="str">
            <v>R-505</v>
          </cell>
        </row>
        <row r="274">
          <cell r="C274" t="str">
            <v>R-506</v>
          </cell>
        </row>
        <row r="275">
          <cell r="C275" t="str">
            <v>R-507 ou R-507A</v>
          </cell>
        </row>
        <row r="276">
          <cell r="C276" t="str">
            <v>R-508A</v>
          </cell>
        </row>
        <row r="277">
          <cell r="C277" t="str">
            <v>R-508B</v>
          </cell>
        </row>
        <row r="278">
          <cell r="C278" t="str">
            <v>R-509 ou R-509A</v>
          </cell>
        </row>
        <row r="279">
          <cell r="C279" t="str">
            <v>PFC-218 (C3F8)</v>
          </cell>
        </row>
        <row r="280">
          <cell r="C280" t="str">
            <v>PFC-116 (C2F6)</v>
          </cell>
        </row>
        <row r="281">
          <cell r="C281" t="str">
            <v>PFC-14 (CF4)</v>
          </cell>
        </row>
        <row r="282">
          <cell r="C282" t="str">
            <v>Perfluorbutano</v>
          </cell>
        </row>
        <row r="283">
          <cell r="C283" t="str">
            <v>Perfluorciclobutano</v>
          </cell>
        </row>
        <row r="284">
          <cell r="C284" t="str">
            <v>Perfluorpentano</v>
          </cell>
        </row>
        <row r="285">
          <cell r="C285" t="str">
            <v>Perfluorhexano</v>
          </cell>
        </row>
        <row r="286">
          <cell r="C286" t="str">
            <v>SF6</v>
          </cell>
          <cell r="E286">
            <v>23900</v>
          </cell>
        </row>
      </sheetData>
      <sheetData sheetId="21" refreshError="1">
        <row r="39">
          <cell r="E39">
            <v>0.2</v>
          </cell>
          <cell r="F39">
            <v>0.2</v>
          </cell>
          <cell r="G39">
            <v>0.2</v>
          </cell>
          <cell r="H39">
            <v>0.2</v>
          </cell>
          <cell r="I39">
            <v>0.2</v>
          </cell>
          <cell r="J39">
            <v>0.2</v>
          </cell>
          <cell r="K39">
            <v>0.2</v>
          </cell>
          <cell r="L39">
            <v>0.2</v>
          </cell>
          <cell r="M39">
            <v>0.2</v>
          </cell>
          <cell r="N39">
            <v>0.2</v>
          </cell>
          <cell r="O39">
            <v>0.2</v>
          </cell>
          <cell r="P39">
            <v>0.2</v>
          </cell>
          <cell r="Q39">
            <v>0.19999999999999998</v>
          </cell>
        </row>
        <row r="40">
          <cell r="E40">
            <v>0.05</v>
          </cell>
          <cell r="F40">
            <v>0.05</v>
          </cell>
          <cell r="G40">
            <v>0.05</v>
          </cell>
          <cell r="H40">
            <v>0.05</v>
          </cell>
          <cell r="I40">
            <v>0.05</v>
          </cell>
          <cell r="J40">
            <v>0.05</v>
          </cell>
          <cell r="K40">
            <v>0.05</v>
          </cell>
          <cell r="L40">
            <v>0.05</v>
          </cell>
          <cell r="M40">
            <v>0.05</v>
          </cell>
          <cell r="N40">
            <v>0.05</v>
          </cell>
          <cell r="O40">
            <v>0.05</v>
          </cell>
          <cell r="P40">
            <v>0.05</v>
          </cell>
          <cell r="Q40">
            <v>4.9999999999999996E-2</v>
          </cell>
        </row>
      </sheetData>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pa 1"/>
      <sheetName val="Etapa 2"/>
      <sheetName val="Resíduos sólidos"/>
      <sheetName val="Base de Dados"/>
      <sheetName val="Fatores de Emissão"/>
    </sheetNames>
    <sheetDataSet>
      <sheetData sheetId="0" refreshError="1"/>
      <sheetData sheetId="1"/>
      <sheetData sheetId="2">
        <row r="119">
          <cell r="E119">
            <v>0</v>
          </cell>
        </row>
      </sheetData>
      <sheetData sheetId="3">
        <row r="15">
          <cell r="B15" t="str">
            <v>Selecione</v>
          </cell>
          <cell r="C15" t="str">
            <v>Selecione</v>
          </cell>
        </row>
        <row r="16">
          <cell r="B16" t="str">
            <v>Sim</v>
          </cell>
          <cell r="C16" t="str">
            <v>Sim</v>
          </cell>
        </row>
        <row r="17">
          <cell r="B17" t="str">
            <v>Não</v>
          </cell>
          <cell r="C17" t="str">
            <v>Não, utilizarei valor default</v>
          </cell>
        </row>
        <row r="19">
          <cell r="B19" t="str">
            <v>Selecione</v>
          </cell>
        </row>
        <row r="20">
          <cell r="B20" t="str">
            <v>≥ 1.000</v>
          </cell>
        </row>
        <row r="21">
          <cell r="B21" t="str">
            <v>&lt;1.000</v>
          </cell>
        </row>
        <row r="23">
          <cell r="B23" t="str">
            <v>Selecione</v>
          </cell>
        </row>
        <row r="24">
          <cell r="B24" t="str">
            <v>&gt;20</v>
          </cell>
        </row>
        <row r="25">
          <cell r="B25" t="str">
            <v>≤20</v>
          </cell>
        </row>
        <row r="27">
          <cell r="B27" t="str">
            <v>Selecione</v>
          </cell>
        </row>
        <row r="28">
          <cell r="B28" t="str">
            <v>Não</v>
          </cell>
        </row>
        <row r="29">
          <cell r="B29" t="str">
            <v>Sim, para geração de energia para a rede</v>
          </cell>
        </row>
        <row r="30">
          <cell r="B30" t="str">
            <v>Sim, para a comercalização de biogás</v>
          </cell>
        </row>
      </sheetData>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pa 1"/>
      <sheetName val="Etapa 2"/>
      <sheetName val="Base de dados"/>
      <sheetName val="Emissions Reductions"/>
      <sheetName val="Estoque fitofisio"/>
      <sheetName val="RADAM"/>
    </sheetNames>
    <sheetDataSet>
      <sheetData sheetId="0"/>
      <sheetData sheetId="1">
        <row r="15">
          <cell r="C15">
            <v>0.01</v>
          </cell>
        </row>
      </sheetData>
      <sheetData sheetId="2">
        <row r="9">
          <cell r="B9" t="str">
            <v>Selecione</v>
          </cell>
        </row>
        <row r="10">
          <cell r="B10" t="str">
            <v>Pastagem</v>
          </cell>
        </row>
        <row r="11">
          <cell r="B11" t="str">
            <v>Agricultura anual</v>
          </cell>
        </row>
        <row r="12">
          <cell r="B12" t="str">
            <v>Agricultura perene</v>
          </cell>
        </row>
        <row r="15">
          <cell r="B15" t="str">
            <v>Selecione</v>
          </cell>
        </row>
        <row r="16">
          <cell r="B16" t="str">
            <v>Floresta Ombrófila Aberta Aluvial</v>
          </cell>
        </row>
        <row r="17">
          <cell r="B17" t="str">
            <v>Floresta Ombrófila Aberta Terras Baixas</v>
          </cell>
        </row>
        <row r="18">
          <cell r="B18" t="str">
            <v>Floresta Ombrófila Aberta Submontana</v>
          </cell>
        </row>
        <row r="19">
          <cell r="B19" t="str">
            <v>Floresta Estacional Decidual Terras Baixas</v>
          </cell>
        </row>
        <row r="20">
          <cell r="B20" t="str">
            <v>Floresta Estacional Decidual Submontana</v>
          </cell>
        </row>
        <row r="21">
          <cell r="B21" t="str">
            <v>Floresta Ombrófila Densa Aluvial</v>
          </cell>
        </row>
        <row r="22">
          <cell r="B22" t="str">
            <v>Floresta Ombrófila Densa de Terras Baixas</v>
          </cell>
        </row>
        <row r="23">
          <cell r="B23" t="str">
            <v>Floresta Ombrófila Densa Montana</v>
          </cell>
        </row>
        <row r="24">
          <cell r="B24" t="str">
            <v>Floresta Ombrófila Densa Submontana</v>
          </cell>
        </row>
        <row r="25">
          <cell r="B25" t="str">
            <v>Floresta Estacional Semidecidual aluvial</v>
          </cell>
        </row>
        <row r="26">
          <cell r="B26" t="str">
            <v>Floresta Estacional Semidecidual de terras baixas</v>
          </cell>
        </row>
        <row r="27">
          <cell r="B27" t="str">
            <v>Floresta Estacional Semidecidual montana</v>
          </cell>
        </row>
        <row r="28">
          <cell r="B28" t="str">
            <v>Floresta Estacional Semidecidual Submontana</v>
          </cell>
        </row>
        <row r="29">
          <cell r="B29" t="str">
            <v>Campinarana Arborizada</v>
          </cell>
        </row>
        <row r="30">
          <cell r="B30" t="str">
            <v>Campinarana Arbustiva</v>
          </cell>
        </row>
        <row r="31">
          <cell r="B31" t="str">
            <v>Campinarana gramíneo lenhosa</v>
          </cell>
        </row>
        <row r="32">
          <cell r="B32" t="str">
            <v>Campinarana Florestada</v>
          </cell>
        </row>
        <row r="33">
          <cell r="B33" t="str">
            <v>Vegetação com influência fluvial e/ou lacustre</v>
          </cell>
        </row>
        <row r="34">
          <cell r="B34" t="str">
            <v>Pioneiras com influência fluviomarinha (mangue)</v>
          </cell>
        </row>
        <row r="35">
          <cell r="B35" t="str">
            <v>Pioneiras com influência Marinha (restinga)</v>
          </cell>
        </row>
        <row r="36">
          <cell r="B36" t="str">
            <v>Refúgio Montano</v>
          </cell>
        </row>
        <row r="37">
          <cell r="B37" t="str">
            <v>Refúgio Submontano</v>
          </cell>
        </row>
        <row r="38">
          <cell r="B38" t="str">
            <v>Savana Arborizada</v>
          </cell>
        </row>
        <row r="39">
          <cell r="B39" t="str">
            <v>Savana Florestada</v>
          </cell>
        </row>
        <row r="40">
          <cell r="B40" t="str">
            <v>Savana Gramíneo-Lenhosa</v>
          </cell>
        </row>
        <row r="41">
          <cell r="B41" t="str">
            <v>Savana Parque</v>
          </cell>
        </row>
        <row r="42">
          <cell r="B42" t="str">
            <v>Savana Estépica Arborizada</v>
          </cell>
        </row>
        <row r="43">
          <cell r="B43" t="str">
            <v>Savana Estépica Florestada</v>
          </cell>
        </row>
        <row r="44">
          <cell r="B44" t="str">
            <v>Savana Estépica Gramíneo Lenhosa</v>
          </cell>
        </row>
        <row r="45">
          <cell r="B45" t="str">
            <v>Savana Estépica Parque</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Atualizações"/>
      <sheetName val="Listas"/>
      <sheetName val="Introdução"/>
      <sheetName val="Combustão estacionária"/>
      <sheetName val="Combustão móvel"/>
      <sheetName val="Emissões fugitivas"/>
      <sheetName val="Processos industriais"/>
      <sheetName val="Atividades agrícolas"/>
      <sheetName val="Resíduos sólidos"/>
      <sheetName val="Efluentes"/>
      <sheetName val="Compra de Energia Elétrica"/>
      <sheetName val="Compra de Energia Térmica"/>
      <sheetName val="Categorias de Escopo 3"/>
      <sheetName val="Transp.&amp; Distribuição(Upstream)"/>
      <sheetName val="Resíduos sólidos da operação"/>
      <sheetName val="Efluentes gerados na operação"/>
      <sheetName val="Viagens a Negócios"/>
      <sheetName val="Transp&amp;Distribuição(Downstream)"/>
      <sheetName val="Resumo"/>
      <sheetName val="Fatores de Emissão"/>
      <sheetName val="Fatores Variáveis"/>
      <sheetName val="Fatores de conversão"/>
      <sheetName val="Transporte Diário Funcionários"/>
      <sheetName val="Transporte de Produtos"/>
      <sheetName val="Melhorias"/>
    </sheetNames>
    <sheetDataSet>
      <sheetData sheetId="0"/>
      <sheetData sheetId="1"/>
      <sheetData sheetId="2">
        <row r="2">
          <cell r="B2" t="str">
            <v>Selecione</v>
          </cell>
        </row>
      </sheetData>
      <sheetData sheetId="3">
        <row r="24">
          <cell r="E24">
            <v>2012</v>
          </cell>
        </row>
      </sheetData>
      <sheetData sheetId="4">
        <row r="30">
          <cell r="D30" t="str">
            <v>Comercial ou Institucional</v>
          </cell>
        </row>
      </sheetData>
      <sheetData sheetId="5">
        <row r="50">
          <cell r="AF50" t="str">
            <v/>
          </cell>
        </row>
      </sheetData>
      <sheetData sheetId="6">
        <row r="209">
          <cell r="F209">
            <v>0</v>
          </cell>
        </row>
      </sheetData>
      <sheetData sheetId="7">
        <row r="31">
          <cell r="AE31">
            <v>0</v>
          </cell>
        </row>
      </sheetData>
      <sheetData sheetId="8">
        <row r="31">
          <cell r="AE31">
            <v>0</v>
          </cell>
        </row>
        <row r="96">
          <cell r="AE96">
            <v>0</v>
          </cell>
        </row>
        <row r="97">
          <cell r="AE97">
            <v>0</v>
          </cell>
        </row>
        <row r="98">
          <cell r="AE98">
            <v>0</v>
          </cell>
        </row>
        <row r="99">
          <cell r="AE99">
            <v>0</v>
          </cell>
        </row>
        <row r="100">
          <cell r="AE100">
            <v>0</v>
          </cell>
        </row>
        <row r="101">
          <cell r="AE101">
            <v>0</v>
          </cell>
        </row>
        <row r="102">
          <cell r="AE102">
            <v>0</v>
          </cell>
        </row>
      </sheetData>
      <sheetData sheetId="9">
        <row r="115">
          <cell r="AH115">
            <v>4.1975751926711258</v>
          </cell>
        </row>
      </sheetData>
      <sheetData sheetId="10">
        <row r="109">
          <cell r="E109">
            <v>0</v>
          </cell>
        </row>
      </sheetData>
      <sheetData sheetId="11">
        <row r="164">
          <cell r="J164">
            <v>0</v>
          </cell>
        </row>
      </sheetData>
      <sheetData sheetId="12">
        <row r="89">
          <cell r="F89">
            <v>0</v>
          </cell>
        </row>
      </sheetData>
      <sheetData sheetId="13">
        <row r="25">
          <cell r="I25">
            <v>0</v>
          </cell>
        </row>
      </sheetData>
      <sheetData sheetId="14">
        <row r="53">
          <cell r="AF53" t="str">
            <v/>
          </cell>
        </row>
      </sheetData>
      <sheetData sheetId="15">
        <row r="123">
          <cell r="E123">
            <v>0</v>
          </cell>
        </row>
      </sheetData>
      <sheetData sheetId="16">
        <row r="109">
          <cell r="E109">
            <v>0</v>
          </cell>
        </row>
      </sheetData>
      <sheetData sheetId="17">
        <row r="71">
          <cell r="F71">
            <v>0</v>
          </cell>
        </row>
      </sheetData>
      <sheetData sheetId="18">
        <row r="52">
          <cell r="AF52" t="str">
            <v/>
          </cell>
        </row>
      </sheetData>
      <sheetData sheetId="19"/>
      <sheetData sheetId="20">
        <row r="46">
          <cell r="K46" t="str">
            <v>Energia</v>
          </cell>
        </row>
      </sheetData>
      <sheetData sheetId="21">
        <row r="39">
          <cell r="E39">
            <v>0.2</v>
          </cell>
        </row>
      </sheetData>
      <sheetData sheetId="22"/>
      <sheetData sheetId="23"/>
      <sheetData sheetId="24"/>
      <sheetData sheetId="2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hyperlink" Target="http://www.dpi.inpe.br/prodesdigital/prodesmunicipal.php" TargetMode="External"/><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8.bin"/><Relationship Id="rId1" Type="http://schemas.openxmlformats.org/officeDocument/2006/relationships/hyperlink" Target="http://www.v-c-s.org/methodologies/VM0015" TargetMode="External"/><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tese.gvces@fgv.br" TargetMode="Externa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M45"/>
  <sheetViews>
    <sheetView showGridLines="0" topLeftCell="A15" workbookViewId="0">
      <selection activeCell="B8" sqref="B8:K40"/>
    </sheetView>
  </sheetViews>
  <sheetFormatPr defaultColWidth="0" defaultRowHeight="14.4" zeroHeight="1"/>
  <cols>
    <col min="1" max="12" width="9.109375" customWidth="1"/>
    <col min="13" max="13" width="0" hidden="1" customWidth="1"/>
    <col min="14" max="16384" width="9.109375" hidden="1"/>
  </cols>
  <sheetData>
    <row r="1" spans="1:13">
      <c r="A1" s="2"/>
      <c r="B1" s="2"/>
      <c r="C1" s="2"/>
      <c r="D1" s="2"/>
      <c r="E1" s="2"/>
      <c r="F1" s="2"/>
      <c r="G1" s="2"/>
      <c r="H1" s="2"/>
      <c r="I1" s="2"/>
      <c r="J1" s="2"/>
      <c r="K1" s="2"/>
      <c r="L1" s="2"/>
      <c r="M1" s="2"/>
    </row>
    <row r="2" spans="1:13" s="1" customFormat="1">
      <c r="A2" s="2"/>
      <c r="B2" s="2"/>
      <c r="C2" s="2"/>
      <c r="D2" s="2"/>
      <c r="E2" s="2"/>
      <c r="F2" s="2"/>
      <c r="G2" s="2"/>
      <c r="H2" s="2"/>
      <c r="I2" s="2"/>
      <c r="J2" s="2"/>
      <c r="K2" s="2"/>
      <c r="L2" s="2"/>
      <c r="M2" s="2"/>
    </row>
    <row r="3" spans="1:13" s="1" customFormat="1">
      <c r="A3" s="2"/>
      <c r="B3" s="2"/>
      <c r="C3" s="2"/>
      <c r="D3" s="2"/>
      <c r="E3" s="2"/>
      <c r="F3" s="2"/>
      <c r="G3" s="2"/>
      <c r="H3" s="2"/>
      <c r="I3" s="2"/>
      <c r="J3" s="2"/>
      <c r="K3" s="2"/>
      <c r="L3" s="2"/>
      <c r="M3" s="2"/>
    </row>
    <row r="4" spans="1:13">
      <c r="A4" s="2"/>
      <c r="B4" s="2"/>
      <c r="C4" s="2"/>
      <c r="D4" s="2"/>
      <c r="E4" s="2"/>
      <c r="F4" s="2"/>
      <c r="G4" s="2"/>
      <c r="H4" s="2"/>
      <c r="I4" s="2"/>
      <c r="J4" s="2"/>
      <c r="K4" s="2"/>
      <c r="L4" s="2"/>
      <c r="M4" s="2"/>
    </row>
    <row r="5" spans="1:13" s="1" customFormat="1">
      <c r="A5" s="2"/>
      <c r="B5" s="2"/>
      <c r="C5" s="2"/>
      <c r="D5" s="2"/>
      <c r="E5" s="2"/>
      <c r="F5" s="2"/>
      <c r="G5" s="2"/>
      <c r="H5" s="2"/>
      <c r="I5" s="2"/>
      <c r="J5" s="2"/>
      <c r="K5" s="2"/>
      <c r="L5" s="2"/>
      <c r="M5" s="2"/>
    </row>
    <row r="6" spans="1:13" s="1" customFormat="1">
      <c r="A6" s="2"/>
      <c r="B6" s="2"/>
      <c r="C6" s="2"/>
      <c r="D6" s="2"/>
      <c r="E6" s="2"/>
      <c r="F6" s="2"/>
      <c r="G6" s="2"/>
      <c r="H6" s="2"/>
      <c r="I6" s="2"/>
      <c r="J6" s="2"/>
      <c r="K6" s="2"/>
      <c r="L6" s="2"/>
      <c r="M6" s="2"/>
    </row>
    <row r="7" spans="1:13" ht="18.600000000000001" thickBot="1">
      <c r="A7" s="2"/>
      <c r="B7" s="1593" t="s">
        <v>1245</v>
      </c>
      <c r="C7" s="1593"/>
      <c r="D7" s="1593"/>
      <c r="E7" s="1593"/>
      <c r="F7" s="1593"/>
      <c r="G7" s="1593"/>
      <c r="H7" s="1593"/>
      <c r="I7" s="1593"/>
      <c r="J7" s="1593"/>
      <c r="K7" s="1593"/>
      <c r="L7" s="2"/>
      <c r="M7" s="2"/>
    </row>
    <row r="8" spans="1:13" ht="15" customHeight="1">
      <c r="A8" s="1"/>
      <c r="B8" s="1594" t="s">
        <v>1498</v>
      </c>
      <c r="C8" s="1595"/>
      <c r="D8" s="1595"/>
      <c r="E8" s="1595"/>
      <c r="F8" s="1595"/>
      <c r="G8" s="1595"/>
      <c r="H8" s="1595"/>
      <c r="I8" s="1595"/>
      <c r="J8" s="1595"/>
      <c r="K8" s="1596"/>
      <c r="L8" s="2"/>
      <c r="M8" s="2"/>
    </row>
    <row r="9" spans="1:13">
      <c r="A9" s="1"/>
      <c r="B9" s="1597"/>
      <c r="C9" s="1598"/>
      <c r="D9" s="1598"/>
      <c r="E9" s="1598"/>
      <c r="F9" s="1598"/>
      <c r="G9" s="1598"/>
      <c r="H9" s="1598"/>
      <c r="I9" s="1598"/>
      <c r="J9" s="1598"/>
      <c r="K9" s="1599"/>
      <c r="L9" s="2"/>
      <c r="M9" s="2"/>
    </row>
    <row r="10" spans="1:13">
      <c r="A10" s="1"/>
      <c r="B10" s="1597"/>
      <c r="C10" s="1598"/>
      <c r="D10" s="1598"/>
      <c r="E10" s="1598"/>
      <c r="F10" s="1598"/>
      <c r="G10" s="1598"/>
      <c r="H10" s="1598"/>
      <c r="I10" s="1598"/>
      <c r="J10" s="1598"/>
      <c r="K10" s="1599"/>
      <c r="L10" s="2"/>
      <c r="M10" s="2"/>
    </row>
    <row r="11" spans="1:13">
      <c r="A11" s="1"/>
      <c r="B11" s="1597"/>
      <c r="C11" s="1598"/>
      <c r="D11" s="1598"/>
      <c r="E11" s="1598"/>
      <c r="F11" s="1598"/>
      <c r="G11" s="1598"/>
      <c r="H11" s="1598"/>
      <c r="I11" s="1598"/>
      <c r="J11" s="1598"/>
      <c r="K11" s="1599"/>
      <c r="L11" s="2"/>
      <c r="M11" s="2"/>
    </row>
    <row r="12" spans="1:13">
      <c r="A12" s="1"/>
      <c r="B12" s="1597"/>
      <c r="C12" s="1598"/>
      <c r="D12" s="1598"/>
      <c r="E12" s="1598"/>
      <c r="F12" s="1598"/>
      <c r="G12" s="1598"/>
      <c r="H12" s="1598"/>
      <c r="I12" s="1598"/>
      <c r="J12" s="1598"/>
      <c r="K12" s="1599"/>
      <c r="L12" s="2"/>
      <c r="M12" s="2"/>
    </row>
    <row r="13" spans="1:13">
      <c r="A13" s="1"/>
      <c r="B13" s="1597"/>
      <c r="C13" s="1598"/>
      <c r="D13" s="1598"/>
      <c r="E13" s="1598"/>
      <c r="F13" s="1598"/>
      <c r="G13" s="1598"/>
      <c r="H13" s="1598"/>
      <c r="I13" s="1598"/>
      <c r="J13" s="1598"/>
      <c r="K13" s="1599"/>
      <c r="L13" s="2"/>
      <c r="M13" s="2"/>
    </row>
    <row r="14" spans="1:13">
      <c r="A14" s="1"/>
      <c r="B14" s="1597"/>
      <c r="C14" s="1598"/>
      <c r="D14" s="1598"/>
      <c r="E14" s="1598"/>
      <c r="F14" s="1598"/>
      <c r="G14" s="1598"/>
      <c r="H14" s="1598"/>
      <c r="I14" s="1598"/>
      <c r="J14" s="1598"/>
      <c r="K14" s="1599"/>
      <c r="L14" s="2"/>
      <c r="M14" s="2"/>
    </row>
    <row r="15" spans="1:13">
      <c r="A15" s="1"/>
      <c r="B15" s="1597"/>
      <c r="C15" s="1598"/>
      <c r="D15" s="1598"/>
      <c r="E15" s="1598"/>
      <c r="F15" s="1598"/>
      <c r="G15" s="1598"/>
      <c r="H15" s="1598"/>
      <c r="I15" s="1598"/>
      <c r="J15" s="1598"/>
      <c r="K15" s="1599"/>
      <c r="L15" s="2"/>
      <c r="M15" s="2"/>
    </row>
    <row r="16" spans="1:13">
      <c r="A16" s="1"/>
      <c r="B16" s="1597"/>
      <c r="C16" s="1598"/>
      <c r="D16" s="1598"/>
      <c r="E16" s="1598"/>
      <c r="F16" s="1598"/>
      <c r="G16" s="1598"/>
      <c r="H16" s="1598"/>
      <c r="I16" s="1598"/>
      <c r="J16" s="1598"/>
      <c r="K16" s="1599"/>
      <c r="L16" s="2"/>
      <c r="M16" s="2"/>
    </row>
    <row r="17" spans="1:13">
      <c r="A17" s="1"/>
      <c r="B17" s="1597"/>
      <c r="C17" s="1598"/>
      <c r="D17" s="1598"/>
      <c r="E17" s="1598"/>
      <c r="F17" s="1598"/>
      <c r="G17" s="1598"/>
      <c r="H17" s="1598"/>
      <c r="I17" s="1598"/>
      <c r="J17" s="1598"/>
      <c r="K17" s="1599"/>
      <c r="L17" s="2"/>
      <c r="M17" s="2"/>
    </row>
    <row r="18" spans="1:13">
      <c r="A18" s="1"/>
      <c r="B18" s="1597"/>
      <c r="C18" s="1598"/>
      <c r="D18" s="1598"/>
      <c r="E18" s="1598"/>
      <c r="F18" s="1598"/>
      <c r="G18" s="1598"/>
      <c r="H18" s="1598"/>
      <c r="I18" s="1598"/>
      <c r="J18" s="1598"/>
      <c r="K18" s="1599"/>
      <c r="L18" s="2"/>
      <c r="M18" s="2"/>
    </row>
    <row r="19" spans="1:13">
      <c r="A19" s="1"/>
      <c r="B19" s="1597"/>
      <c r="C19" s="1598"/>
      <c r="D19" s="1598"/>
      <c r="E19" s="1598"/>
      <c r="F19" s="1598"/>
      <c r="G19" s="1598"/>
      <c r="H19" s="1598"/>
      <c r="I19" s="1598"/>
      <c r="J19" s="1598"/>
      <c r="K19" s="1599"/>
      <c r="L19" s="2"/>
      <c r="M19" s="2"/>
    </row>
    <row r="20" spans="1:13">
      <c r="A20" s="2"/>
      <c r="B20" s="1597"/>
      <c r="C20" s="1598"/>
      <c r="D20" s="1598"/>
      <c r="E20" s="1598"/>
      <c r="F20" s="1598"/>
      <c r="G20" s="1598"/>
      <c r="H20" s="1598"/>
      <c r="I20" s="1598"/>
      <c r="J20" s="1598"/>
      <c r="K20" s="1599"/>
      <c r="L20" s="2"/>
      <c r="M20" s="2"/>
    </row>
    <row r="21" spans="1:13">
      <c r="A21" s="2"/>
      <c r="B21" s="1597"/>
      <c r="C21" s="1598"/>
      <c r="D21" s="1598"/>
      <c r="E21" s="1598"/>
      <c r="F21" s="1598"/>
      <c r="G21" s="1598"/>
      <c r="H21" s="1598"/>
      <c r="I21" s="1598"/>
      <c r="J21" s="1598"/>
      <c r="K21" s="1599"/>
      <c r="L21" s="2"/>
      <c r="M21" s="2"/>
    </row>
    <row r="22" spans="1:13">
      <c r="A22" s="2"/>
      <c r="B22" s="1597"/>
      <c r="C22" s="1598"/>
      <c r="D22" s="1598"/>
      <c r="E22" s="1598"/>
      <c r="F22" s="1598"/>
      <c r="G22" s="1598"/>
      <c r="H22" s="1598"/>
      <c r="I22" s="1598"/>
      <c r="J22" s="1598"/>
      <c r="K22" s="1599"/>
      <c r="L22" s="2"/>
      <c r="M22" s="2"/>
    </row>
    <row r="23" spans="1:13">
      <c r="A23" s="2"/>
      <c r="B23" s="1597"/>
      <c r="C23" s="1598"/>
      <c r="D23" s="1598"/>
      <c r="E23" s="1598"/>
      <c r="F23" s="1598"/>
      <c r="G23" s="1598"/>
      <c r="H23" s="1598"/>
      <c r="I23" s="1598"/>
      <c r="J23" s="1598"/>
      <c r="K23" s="1599"/>
      <c r="L23" s="2"/>
      <c r="M23" s="2"/>
    </row>
    <row r="24" spans="1:13">
      <c r="A24" s="2"/>
      <c r="B24" s="1597"/>
      <c r="C24" s="1598"/>
      <c r="D24" s="1598"/>
      <c r="E24" s="1598"/>
      <c r="F24" s="1598"/>
      <c r="G24" s="1598"/>
      <c r="H24" s="1598"/>
      <c r="I24" s="1598"/>
      <c r="J24" s="1598"/>
      <c r="K24" s="1599"/>
      <c r="L24" s="2"/>
      <c r="M24" s="2"/>
    </row>
    <row r="25" spans="1:13">
      <c r="A25" s="2"/>
      <c r="B25" s="1597"/>
      <c r="C25" s="1598"/>
      <c r="D25" s="1598"/>
      <c r="E25" s="1598"/>
      <c r="F25" s="1598"/>
      <c r="G25" s="1598"/>
      <c r="H25" s="1598"/>
      <c r="I25" s="1598"/>
      <c r="J25" s="1598"/>
      <c r="K25" s="1599"/>
      <c r="L25" s="2"/>
      <c r="M25" s="2"/>
    </row>
    <row r="26" spans="1:13">
      <c r="A26" s="2"/>
      <c r="B26" s="1597"/>
      <c r="C26" s="1598"/>
      <c r="D26" s="1598"/>
      <c r="E26" s="1598"/>
      <c r="F26" s="1598"/>
      <c r="G26" s="1598"/>
      <c r="H26" s="1598"/>
      <c r="I26" s="1598"/>
      <c r="J26" s="1598"/>
      <c r="K26" s="1599"/>
      <c r="L26" s="2"/>
      <c r="M26" s="2"/>
    </row>
    <row r="27" spans="1:13">
      <c r="A27" s="2"/>
      <c r="B27" s="1597"/>
      <c r="C27" s="1598"/>
      <c r="D27" s="1598"/>
      <c r="E27" s="1598"/>
      <c r="F27" s="1598"/>
      <c r="G27" s="1598"/>
      <c r="H27" s="1598"/>
      <c r="I27" s="1598"/>
      <c r="J27" s="1598"/>
      <c r="K27" s="1599"/>
      <c r="L27" s="2"/>
      <c r="M27" s="2"/>
    </row>
    <row r="28" spans="1:13">
      <c r="A28" s="2"/>
      <c r="B28" s="1597"/>
      <c r="C28" s="1598"/>
      <c r="D28" s="1598"/>
      <c r="E28" s="1598"/>
      <c r="F28" s="1598"/>
      <c r="G28" s="1598"/>
      <c r="H28" s="1598"/>
      <c r="I28" s="1598"/>
      <c r="J28" s="1598"/>
      <c r="K28" s="1599"/>
      <c r="L28" s="2"/>
      <c r="M28" s="2"/>
    </row>
    <row r="29" spans="1:13">
      <c r="A29" s="2"/>
      <c r="B29" s="1597"/>
      <c r="C29" s="1598"/>
      <c r="D29" s="1598"/>
      <c r="E29" s="1598"/>
      <c r="F29" s="1598"/>
      <c r="G29" s="1598"/>
      <c r="H29" s="1598"/>
      <c r="I29" s="1598"/>
      <c r="J29" s="1598"/>
      <c r="K29" s="1599"/>
      <c r="L29" s="2"/>
      <c r="M29" s="2"/>
    </row>
    <row r="30" spans="1:13">
      <c r="A30" s="2"/>
      <c r="B30" s="1597"/>
      <c r="C30" s="1598"/>
      <c r="D30" s="1598"/>
      <c r="E30" s="1598"/>
      <c r="F30" s="1598"/>
      <c r="G30" s="1598"/>
      <c r="H30" s="1598"/>
      <c r="I30" s="1598"/>
      <c r="J30" s="1598"/>
      <c r="K30" s="1599"/>
      <c r="L30" s="2"/>
      <c r="M30" s="2"/>
    </row>
    <row r="31" spans="1:13">
      <c r="A31" s="2"/>
      <c r="B31" s="1597"/>
      <c r="C31" s="1598"/>
      <c r="D31" s="1598"/>
      <c r="E31" s="1598"/>
      <c r="F31" s="1598"/>
      <c r="G31" s="1598"/>
      <c r="H31" s="1598"/>
      <c r="I31" s="1598"/>
      <c r="J31" s="1598"/>
      <c r="K31" s="1599"/>
      <c r="L31" s="2"/>
      <c r="M31" s="2"/>
    </row>
    <row r="32" spans="1:13">
      <c r="A32" s="2"/>
      <c r="B32" s="1597"/>
      <c r="C32" s="1598"/>
      <c r="D32" s="1598"/>
      <c r="E32" s="1598"/>
      <c r="F32" s="1598"/>
      <c r="G32" s="1598"/>
      <c r="H32" s="1598"/>
      <c r="I32" s="1598"/>
      <c r="J32" s="1598"/>
      <c r="K32" s="1599"/>
      <c r="L32" s="2"/>
      <c r="M32" s="2"/>
    </row>
    <row r="33" spans="1:13">
      <c r="A33" s="2"/>
      <c r="B33" s="1597"/>
      <c r="C33" s="1598"/>
      <c r="D33" s="1598"/>
      <c r="E33" s="1598"/>
      <c r="F33" s="1598"/>
      <c r="G33" s="1598"/>
      <c r="H33" s="1598"/>
      <c r="I33" s="1598"/>
      <c r="J33" s="1598"/>
      <c r="K33" s="1599"/>
      <c r="L33" s="2"/>
      <c r="M33" s="2"/>
    </row>
    <row r="34" spans="1:13">
      <c r="A34" s="2"/>
      <c r="B34" s="1597"/>
      <c r="C34" s="1598"/>
      <c r="D34" s="1598"/>
      <c r="E34" s="1598"/>
      <c r="F34" s="1598"/>
      <c r="G34" s="1598"/>
      <c r="H34" s="1598"/>
      <c r="I34" s="1598"/>
      <c r="J34" s="1598"/>
      <c r="K34" s="1599"/>
      <c r="L34" s="2"/>
      <c r="M34" s="2"/>
    </row>
    <row r="35" spans="1:13">
      <c r="A35" s="2"/>
      <c r="B35" s="1597"/>
      <c r="C35" s="1598"/>
      <c r="D35" s="1598"/>
      <c r="E35" s="1598"/>
      <c r="F35" s="1598"/>
      <c r="G35" s="1598"/>
      <c r="H35" s="1598"/>
      <c r="I35" s="1598"/>
      <c r="J35" s="1598"/>
      <c r="K35" s="1599"/>
      <c r="L35" s="2"/>
      <c r="M35" s="2"/>
    </row>
    <row r="36" spans="1:13">
      <c r="A36" s="2"/>
      <c r="B36" s="1597"/>
      <c r="C36" s="1598"/>
      <c r="D36" s="1598"/>
      <c r="E36" s="1598"/>
      <c r="F36" s="1598"/>
      <c r="G36" s="1598"/>
      <c r="H36" s="1598"/>
      <c r="I36" s="1598"/>
      <c r="J36" s="1598"/>
      <c r="K36" s="1599"/>
      <c r="L36" s="2"/>
      <c r="M36" s="2"/>
    </row>
    <row r="37" spans="1:13">
      <c r="A37" s="2"/>
      <c r="B37" s="1597"/>
      <c r="C37" s="1598"/>
      <c r="D37" s="1598"/>
      <c r="E37" s="1598"/>
      <c r="F37" s="1598"/>
      <c r="G37" s="1598"/>
      <c r="H37" s="1598"/>
      <c r="I37" s="1598"/>
      <c r="J37" s="1598"/>
      <c r="K37" s="1599"/>
      <c r="L37" s="2"/>
      <c r="M37" s="2"/>
    </row>
    <row r="38" spans="1:13">
      <c r="A38" s="2"/>
      <c r="B38" s="1597"/>
      <c r="C38" s="1598"/>
      <c r="D38" s="1598"/>
      <c r="E38" s="1598"/>
      <c r="F38" s="1598"/>
      <c r="G38" s="1598"/>
      <c r="H38" s="1598"/>
      <c r="I38" s="1598"/>
      <c r="J38" s="1598"/>
      <c r="K38" s="1599"/>
      <c r="L38" s="2"/>
      <c r="M38" s="2"/>
    </row>
    <row r="39" spans="1:13">
      <c r="A39" s="2"/>
      <c r="B39" s="1597"/>
      <c r="C39" s="1598"/>
      <c r="D39" s="1598"/>
      <c r="E39" s="1598"/>
      <c r="F39" s="1598"/>
      <c r="G39" s="1598"/>
      <c r="H39" s="1598"/>
      <c r="I39" s="1598"/>
      <c r="J39" s="1598"/>
      <c r="K39" s="1599"/>
      <c r="L39" s="2"/>
      <c r="M39" s="2"/>
    </row>
    <row r="40" spans="1:13" ht="15" thickBot="1">
      <c r="A40" s="2"/>
      <c r="B40" s="1600"/>
      <c r="C40" s="1601"/>
      <c r="D40" s="1601"/>
      <c r="E40" s="1601"/>
      <c r="F40" s="1601"/>
      <c r="G40" s="1601"/>
      <c r="H40" s="1601"/>
      <c r="I40" s="1601"/>
      <c r="J40" s="1601"/>
      <c r="K40" s="1602"/>
      <c r="L40" s="2"/>
      <c r="M40" s="2"/>
    </row>
    <row r="41" spans="1:13">
      <c r="A41" s="2"/>
      <c r="B41" s="2"/>
      <c r="C41" s="2"/>
      <c r="D41" s="2"/>
      <c r="E41" s="2"/>
      <c r="F41" s="2"/>
      <c r="G41" s="2"/>
      <c r="H41" s="2"/>
      <c r="I41" s="2"/>
      <c r="J41" s="2"/>
      <c r="K41" s="2"/>
      <c r="L41" s="2"/>
      <c r="M41" s="2"/>
    </row>
    <row r="42" spans="1:13" hidden="1"/>
    <row r="43" spans="1:13" hidden="1"/>
    <row r="44" spans="1:13"/>
    <row r="45" spans="1:13"/>
  </sheetData>
  <sheetProtection algorithmName="SHA-512" hashValue="sKWJwQRx2SluyFdnJG7r0h1eZ9085KVO18VOz3nvcT/cWa+Q97zZ12sSDEAW8ig0XFz5AbxIXXdiBronsm6N9Q==" saltValue="G2Mf/NvU6g68v4F7oyAA1g==" spinCount="100000" sheet="1" objects="1" scenarios="1" selectLockedCells="1" selectUnlockedCells="1"/>
  <mergeCells count="2">
    <mergeCell ref="B7:K7"/>
    <mergeCell ref="B8:K40"/>
  </mergeCells>
  <pageMargins left="0.511811024" right="0.511811024" top="0.78740157499999996" bottom="0.78740157499999996" header="0.31496062000000002" footer="0.31496062000000002"/>
  <pageSetup paperSize="9" orientation="portrait"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A1:BM161"/>
  <sheetViews>
    <sheetView showGridLines="0" zoomScale="90" zoomScaleNormal="90" workbookViewId="0">
      <pane ySplit="16" topLeftCell="A17" activePane="bottomLeft" state="frozen"/>
      <selection pane="bottomLeft" activeCell="A15" sqref="A15:F15"/>
    </sheetView>
  </sheetViews>
  <sheetFormatPr defaultColWidth="8.88671875" defaultRowHeight="14.4" zeroHeight="1"/>
  <cols>
    <col min="1" max="1" width="40.109375" style="375" customWidth="1"/>
    <col min="2" max="4" width="27.44140625" style="375" customWidth="1"/>
    <col min="5" max="5" width="23.33203125" style="376" customWidth="1"/>
    <col min="6" max="6" width="15.109375" style="14" customWidth="1"/>
    <col min="7" max="7" width="12.44140625" style="377" customWidth="1"/>
    <col min="8" max="8" width="42.44140625" style="5" customWidth="1"/>
    <col min="9" max="9" width="12" style="5" bestFit="1" customWidth="1"/>
    <col min="10" max="10" width="14.44140625" style="5" bestFit="1" customWidth="1"/>
    <col min="11" max="11" width="17.33203125" style="5" bestFit="1" customWidth="1"/>
    <col min="12" max="12" width="13.44140625" style="5" bestFit="1" customWidth="1"/>
    <col min="13" max="13" width="21" style="5" customWidth="1"/>
    <col min="14" max="14" width="12.33203125" style="9" customWidth="1"/>
    <col min="15" max="15" width="8.88671875" style="378"/>
    <col min="16" max="64" width="8.88671875" style="9"/>
    <col min="65" max="16384" width="8.88671875" style="5"/>
  </cols>
  <sheetData>
    <row r="1" spans="1:65"/>
    <row r="2" spans="1:65"/>
    <row r="3" spans="1:65"/>
    <row r="4" spans="1:65"/>
    <row r="5" spans="1:65"/>
    <row r="6" spans="1:65"/>
    <row r="7" spans="1:65" ht="16.2" thickBot="1">
      <c r="A7" s="1744" t="s">
        <v>1252</v>
      </c>
      <c r="B7" s="1744"/>
      <c r="C7" s="1744"/>
      <c r="D7" s="1744"/>
      <c r="E7" s="1744"/>
      <c r="F7" s="1744"/>
      <c r="G7" s="1744"/>
      <c r="H7" s="1744"/>
      <c r="I7" s="373"/>
      <c r="J7" s="373"/>
      <c r="K7" s="373"/>
      <c r="L7" s="373"/>
      <c r="M7" s="373"/>
      <c r="N7" s="373"/>
      <c r="O7" s="374"/>
    </row>
    <row r="8" spans="1:65" s="9" customFormat="1" ht="15.6">
      <c r="A8" s="1188"/>
      <c r="B8" s="1188"/>
      <c r="C8" s="1188"/>
      <c r="D8" s="1188"/>
      <c r="E8" s="1188"/>
      <c r="F8" s="1188"/>
      <c r="G8" s="1188"/>
      <c r="H8" s="1188"/>
      <c r="I8" s="966"/>
      <c r="J8" s="966"/>
      <c r="K8" s="966"/>
      <c r="L8" s="966"/>
      <c r="M8" s="966"/>
      <c r="N8" s="966"/>
      <c r="O8" s="966"/>
    </row>
    <row r="9" spans="1:65" s="9" customFormat="1" ht="15.6">
      <c r="A9" s="1188"/>
      <c r="B9" s="1188"/>
      <c r="C9" s="1188"/>
      <c r="D9" s="1188"/>
      <c r="E9" s="1188"/>
      <c r="F9" s="1188"/>
      <c r="G9" s="1188"/>
      <c r="H9" s="1188"/>
      <c r="I9" s="966"/>
      <c r="J9" s="966"/>
      <c r="K9" s="966"/>
      <c r="L9" s="966"/>
      <c r="M9" s="966"/>
      <c r="N9" s="966"/>
      <c r="O9" s="966"/>
    </row>
    <row r="10" spans="1:65" s="9" customFormat="1" ht="15.6">
      <c r="A10" s="1188"/>
      <c r="B10" s="1188"/>
      <c r="C10" s="1188"/>
      <c r="D10" s="1188"/>
      <c r="E10" s="1188"/>
      <c r="F10" s="1188"/>
      <c r="G10" s="1188"/>
      <c r="H10" s="1188"/>
      <c r="I10" s="966"/>
      <c r="J10" s="966"/>
      <c r="K10" s="966"/>
      <c r="L10" s="966"/>
      <c r="M10" s="966"/>
      <c r="N10" s="966"/>
      <c r="O10" s="966"/>
    </row>
    <row r="11" spans="1:65" s="9" customFormat="1" ht="15.6">
      <c r="A11" s="1188"/>
      <c r="B11" s="1188"/>
      <c r="C11" s="1188"/>
      <c r="D11" s="1188"/>
      <c r="E11" s="1188"/>
      <c r="F11" s="1188"/>
      <c r="G11" s="1188"/>
      <c r="H11" s="1188"/>
      <c r="I11" s="966"/>
      <c r="J11" s="966"/>
      <c r="K11" s="966"/>
      <c r="L11" s="966"/>
      <c r="M11" s="966"/>
      <c r="N11" s="966"/>
      <c r="O11" s="966"/>
    </row>
    <row r="12" spans="1:65" s="381" customFormat="1" ht="15.6">
      <c r="A12" s="1786" t="s">
        <v>482</v>
      </c>
      <c r="B12" s="1786"/>
      <c r="C12" s="1786"/>
      <c r="D12" s="1786"/>
      <c r="E12" s="1786"/>
      <c r="F12" s="1786"/>
      <c r="G12" s="379"/>
      <c r="H12" s="1786" t="s">
        <v>481</v>
      </c>
      <c r="I12" s="1786"/>
      <c r="J12" s="1786"/>
      <c r="K12" s="1786"/>
      <c r="L12" s="1786"/>
      <c r="M12" s="1786"/>
      <c r="N12" s="1786"/>
      <c r="O12" s="378"/>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80"/>
      <c r="AQ12" s="380"/>
      <c r="AR12" s="380"/>
      <c r="AS12" s="380"/>
      <c r="AT12" s="380"/>
      <c r="AU12" s="380"/>
      <c r="AV12" s="380"/>
      <c r="AW12" s="380"/>
      <c r="AX12" s="380"/>
      <c r="AY12" s="380"/>
      <c r="AZ12" s="380"/>
      <c r="BA12" s="380"/>
      <c r="BB12" s="380"/>
      <c r="BC12" s="380"/>
      <c r="BD12" s="380"/>
      <c r="BE12" s="380"/>
      <c r="BF12" s="380"/>
      <c r="BG12" s="380"/>
      <c r="BH12" s="380"/>
      <c r="BI12" s="380"/>
      <c r="BJ12" s="380"/>
      <c r="BK12" s="380"/>
      <c r="BL12" s="380"/>
      <c r="BM12" s="380"/>
    </row>
    <row r="13" spans="1:65" ht="15.6">
      <c r="C13" s="382" t="s">
        <v>478</v>
      </c>
      <c r="H13" s="383"/>
      <c r="J13" s="384" t="s">
        <v>477</v>
      </c>
    </row>
    <row r="14" spans="1:65">
      <c r="H14" s="385" t="s">
        <v>438</v>
      </c>
    </row>
    <row r="15" spans="1:65" s="389" customFormat="1" ht="15.6">
      <c r="A15" s="1787" t="s">
        <v>32</v>
      </c>
      <c r="B15" s="1787"/>
      <c r="C15" s="1787"/>
      <c r="D15" s="1787"/>
      <c r="E15" s="1787"/>
      <c r="F15" s="1787"/>
      <c r="G15" s="386"/>
      <c r="H15" s="1100" t="s">
        <v>23</v>
      </c>
      <c r="I15" s="1785" t="s">
        <v>281</v>
      </c>
      <c r="J15" s="1785"/>
      <c r="K15" s="1785"/>
      <c r="L15" s="1785"/>
      <c r="M15" s="1100" t="s">
        <v>286</v>
      </c>
      <c r="N15" s="1788" t="s">
        <v>1129</v>
      </c>
      <c r="O15" s="387"/>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8"/>
      <c r="AN15" s="388"/>
      <c r="AO15" s="388"/>
      <c r="AP15" s="388"/>
      <c r="AQ15" s="388"/>
      <c r="AR15" s="388"/>
      <c r="AS15" s="388"/>
      <c r="AT15" s="388"/>
      <c r="AU15" s="388"/>
      <c r="AV15" s="388"/>
      <c r="AW15" s="388"/>
      <c r="AX15" s="388"/>
      <c r="AY15" s="388"/>
      <c r="AZ15" s="388"/>
      <c r="BA15" s="388"/>
      <c r="BB15" s="388"/>
      <c r="BC15" s="388"/>
      <c r="BD15" s="388"/>
      <c r="BE15" s="388"/>
      <c r="BF15" s="388"/>
      <c r="BG15" s="388"/>
      <c r="BH15" s="388"/>
      <c r="BI15" s="388"/>
      <c r="BJ15" s="388"/>
      <c r="BK15" s="388"/>
      <c r="BL15" s="388"/>
    </row>
    <row r="16" spans="1:65" s="389" customFormat="1" ht="28.8">
      <c r="A16" s="1100" t="s">
        <v>42</v>
      </c>
      <c r="B16" s="1100" t="s">
        <v>28</v>
      </c>
      <c r="C16" s="1100" t="s">
        <v>29</v>
      </c>
      <c r="D16" s="1100" t="s">
        <v>30</v>
      </c>
      <c r="E16" s="1100" t="s">
        <v>31</v>
      </c>
      <c r="F16" s="1100" t="s">
        <v>1057</v>
      </c>
      <c r="G16" s="386"/>
      <c r="H16" s="1101"/>
      <c r="I16" s="1100" t="s">
        <v>282</v>
      </c>
      <c r="J16" s="1100" t="s">
        <v>283</v>
      </c>
      <c r="K16" s="1100" t="s">
        <v>284</v>
      </c>
      <c r="L16" s="1100" t="s">
        <v>285</v>
      </c>
      <c r="M16" s="1100"/>
      <c r="N16" s="1789"/>
      <c r="O16" s="387"/>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8"/>
      <c r="AO16" s="388"/>
      <c r="AP16" s="388"/>
      <c r="AQ16" s="388"/>
      <c r="AR16" s="388"/>
      <c r="AS16" s="388"/>
      <c r="AT16" s="388"/>
      <c r="AU16" s="388"/>
      <c r="AV16" s="388"/>
      <c r="AW16" s="388"/>
      <c r="AX16" s="388"/>
      <c r="AY16" s="388"/>
      <c r="AZ16" s="388"/>
      <c r="BA16" s="388"/>
      <c r="BB16" s="388"/>
      <c r="BC16" s="388"/>
      <c r="BD16" s="388"/>
      <c r="BE16" s="388"/>
      <c r="BF16" s="388"/>
      <c r="BG16" s="388"/>
      <c r="BH16" s="388"/>
      <c r="BI16" s="388"/>
      <c r="BJ16" s="388"/>
      <c r="BK16" s="388"/>
      <c r="BL16" s="388"/>
    </row>
    <row r="17" spans="1:64" s="389" customFormat="1" ht="28.8">
      <c r="A17" s="390" t="s">
        <v>12</v>
      </c>
      <c r="B17" s="391" t="s">
        <v>216</v>
      </c>
      <c r="C17" s="391" t="s">
        <v>216</v>
      </c>
      <c r="D17" s="392" t="s">
        <v>279</v>
      </c>
      <c r="E17" s="393"/>
      <c r="F17" s="394"/>
      <c r="G17" s="386"/>
      <c r="H17" s="395"/>
      <c r="I17" s="1777" t="s">
        <v>287</v>
      </c>
      <c r="J17" s="1778"/>
      <c r="K17" s="1778"/>
      <c r="L17" s="1778"/>
      <c r="M17" s="1778"/>
      <c r="N17" s="1778"/>
      <c r="O17" s="387"/>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388"/>
      <c r="AM17" s="388"/>
      <c r="AN17" s="388"/>
      <c r="AO17" s="388"/>
      <c r="AP17" s="388"/>
      <c r="AQ17" s="388"/>
      <c r="AR17" s="388"/>
      <c r="AS17" s="388"/>
      <c r="AT17" s="388"/>
      <c r="AU17" s="388"/>
      <c r="AV17" s="388"/>
      <c r="AW17" s="388"/>
      <c r="AX17" s="388"/>
      <c r="AY17" s="388"/>
      <c r="AZ17" s="388"/>
      <c r="BA17" s="388"/>
      <c r="BB17" s="388"/>
      <c r="BC17" s="388"/>
      <c r="BD17" s="388"/>
      <c r="BE17" s="388"/>
      <c r="BF17" s="388"/>
      <c r="BG17" s="388"/>
      <c r="BH17" s="388"/>
      <c r="BI17" s="388"/>
      <c r="BJ17" s="388"/>
      <c r="BK17" s="388"/>
      <c r="BL17" s="388"/>
    </row>
    <row r="18" spans="1:64" s="212" customFormat="1" ht="28.8">
      <c r="A18" s="391" t="s">
        <v>217</v>
      </c>
      <c r="B18" s="391" t="s">
        <v>218</v>
      </c>
      <c r="C18" s="391" t="s">
        <v>218</v>
      </c>
      <c r="D18" s="392" t="s">
        <v>218</v>
      </c>
      <c r="E18" s="391" t="s">
        <v>218</v>
      </c>
      <c r="F18" s="396"/>
      <c r="G18" s="397" t="s">
        <v>1264</v>
      </c>
      <c r="H18" s="398" t="s">
        <v>289</v>
      </c>
      <c r="I18" s="225" t="s">
        <v>290</v>
      </c>
      <c r="J18" s="399">
        <v>5000</v>
      </c>
      <c r="K18" s="399">
        <v>5000</v>
      </c>
      <c r="L18" s="225">
        <v>200</v>
      </c>
      <c r="M18" s="225">
        <v>50</v>
      </c>
      <c r="N18" s="400" t="s">
        <v>288</v>
      </c>
      <c r="O18" s="401" t="s">
        <v>1264</v>
      </c>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02"/>
      <c r="AM18" s="402"/>
      <c r="AN18" s="402"/>
      <c r="AO18" s="402"/>
      <c r="AP18" s="402"/>
      <c r="AQ18" s="402"/>
      <c r="AR18" s="402"/>
      <c r="AS18" s="402"/>
      <c r="AT18" s="402"/>
      <c r="AU18" s="402"/>
      <c r="AV18" s="402"/>
      <c r="AW18" s="402"/>
      <c r="AX18" s="402"/>
      <c r="AY18" s="402"/>
      <c r="AZ18" s="402"/>
      <c r="BA18" s="402"/>
      <c r="BB18" s="402"/>
      <c r="BC18" s="402"/>
      <c r="BD18" s="402"/>
      <c r="BE18" s="402"/>
      <c r="BF18" s="402"/>
      <c r="BG18" s="402"/>
      <c r="BH18" s="402"/>
      <c r="BI18" s="402"/>
      <c r="BJ18" s="402"/>
      <c r="BK18" s="402"/>
      <c r="BL18" s="402"/>
    </row>
    <row r="19" spans="1:64" s="212" customFormat="1">
      <c r="A19" s="391" t="s">
        <v>219</v>
      </c>
      <c r="B19" s="391" t="s">
        <v>218</v>
      </c>
      <c r="C19" s="391" t="s">
        <v>218</v>
      </c>
      <c r="D19" s="392" t="s">
        <v>218</v>
      </c>
      <c r="E19" s="403" t="s">
        <v>277</v>
      </c>
      <c r="F19" s="396"/>
      <c r="G19" s="397" t="s">
        <v>1264</v>
      </c>
      <c r="H19" s="398" t="s">
        <v>291</v>
      </c>
      <c r="I19" s="225">
        <v>5</v>
      </c>
      <c r="J19" s="225"/>
      <c r="K19" s="225"/>
      <c r="L19" s="225"/>
      <c r="M19" s="225">
        <v>5</v>
      </c>
      <c r="N19" s="400" t="s">
        <v>288</v>
      </c>
      <c r="O19" s="401" t="s">
        <v>1264</v>
      </c>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c r="AM19" s="402"/>
      <c r="AN19" s="402"/>
      <c r="AO19" s="402"/>
      <c r="AP19" s="402"/>
      <c r="AQ19" s="402"/>
      <c r="AR19" s="402"/>
      <c r="AS19" s="402"/>
      <c r="AT19" s="402"/>
      <c r="AU19" s="402"/>
      <c r="AV19" s="402"/>
      <c r="AW19" s="402"/>
      <c r="AX19" s="402"/>
      <c r="AY19" s="402"/>
      <c r="AZ19" s="402"/>
      <c r="BA19" s="402"/>
      <c r="BB19" s="402"/>
      <c r="BC19" s="402"/>
      <c r="BD19" s="402"/>
      <c r="BE19" s="402"/>
      <c r="BF19" s="402"/>
      <c r="BG19" s="402"/>
      <c r="BH19" s="402"/>
      <c r="BI19" s="402"/>
      <c r="BJ19" s="402"/>
      <c r="BK19" s="402"/>
      <c r="BL19" s="402"/>
    </row>
    <row r="20" spans="1:64" s="212" customFormat="1">
      <c r="A20" s="391" t="s">
        <v>220</v>
      </c>
      <c r="B20" s="391" t="s">
        <v>218</v>
      </c>
      <c r="C20" s="391" t="s">
        <v>218</v>
      </c>
      <c r="D20" s="392" t="s">
        <v>218</v>
      </c>
      <c r="E20" s="404" t="s">
        <v>276</v>
      </c>
      <c r="F20" s="396"/>
      <c r="G20" s="397" t="s">
        <v>1264</v>
      </c>
      <c r="H20" s="398" t="s">
        <v>292</v>
      </c>
      <c r="I20" s="225">
        <v>10</v>
      </c>
      <c r="J20" s="225">
        <v>200</v>
      </c>
      <c r="K20" s="225"/>
      <c r="L20" s="225">
        <v>50</v>
      </c>
      <c r="M20" s="225">
        <v>8</v>
      </c>
      <c r="N20" s="400" t="s">
        <v>288</v>
      </c>
      <c r="O20" s="401" t="s">
        <v>1264</v>
      </c>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402"/>
      <c r="AR20" s="402"/>
      <c r="AS20" s="402"/>
      <c r="AT20" s="402"/>
      <c r="AU20" s="402"/>
      <c r="AV20" s="402"/>
      <c r="AW20" s="402"/>
      <c r="AX20" s="402"/>
      <c r="AY20" s="402"/>
      <c r="AZ20" s="402"/>
      <c r="BA20" s="402"/>
      <c r="BB20" s="402"/>
      <c r="BC20" s="402"/>
      <c r="BD20" s="402"/>
      <c r="BE20" s="402"/>
      <c r="BF20" s="402"/>
      <c r="BG20" s="402"/>
      <c r="BH20" s="402"/>
      <c r="BI20" s="402"/>
      <c r="BJ20" s="402"/>
      <c r="BK20" s="402"/>
      <c r="BL20" s="402"/>
    </row>
    <row r="21" spans="1:64" s="212" customFormat="1" ht="57.6">
      <c r="A21" s="391" t="s">
        <v>221</v>
      </c>
      <c r="B21" s="391" t="s">
        <v>218</v>
      </c>
      <c r="C21" s="391" t="s">
        <v>231</v>
      </c>
      <c r="D21" s="392" t="s">
        <v>231</v>
      </c>
      <c r="E21" s="404"/>
      <c r="F21" s="396"/>
      <c r="G21" s="397" t="s">
        <v>1264</v>
      </c>
      <c r="H21" s="398" t="s">
        <v>293</v>
      </c>
      <c r="I21" s="225">
        <v>700</v>
      </c>
      <c r="J21" s="225"/>
      <c r="K21" s="225"/>
      <c r="L21" s="225">
        <v>1000</v>
      </c>
      <c r="M21" s="225">
        <v>20</v>
      </c>
      <c r="N21" s="400" t="s">
        <v>288</v>
      </c>
      <c r="O21" s="401" t="s">
        <v>1264</v>
      </c>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2"/>
      <c r="AM21" s="402"/>
      <c r="AN21" s="402"/>
      <c r="AO21" s="402"/>
      <c r="AP21" s="402"/>
      <c r="AQ21" s="402"/>
      <c r="AR21" s="402"/>
      <c r="AS21" s="402"/>
      <c r="AT21" s="402"/>
      <c r="AU21" s="402"/>
      <c r="AV21" s="402"/>
      <c r="AW21" s="402"/>
      <c r="AX21" s="402"/>
      <c r="AY21" s="402"/>
      <c r="AZ21" s="402"/>
      <c r="BA21" s="402"/>
      <c r="BB21" s="402"/>
      <c r="BC21" s="402"/>
      <c r="BD21" s="402"/>
      <c r="BE21" s="402"/>
      <c r="BF21" s="402"/>
      <c r="BG21" s="402"/>
      <c r="BH21" s="402"/>
      <c r="BI21" s="402"/>
      <c r="BJ21" s="402"/>
      <c r="BK21" s="402"/>
      <c r="BL21" s="402"/>
    </row>
    <row r="22" spans="1:64" s="212" customFormat="1">
      <c r="A22" s="391" t="s">
        <v>222</v>
      </c>
      <c r="B22" s="391" t="s">
        <v>218</v>
      </c>
      <c r="C22" s="391" t="s">
        <v>218</v>
      </c>
      <c r="D22" s="392" t="s">
        <v>218</v>
      </c>
      <c r="E22" s="404"/>
      <c r="F22" s="396"/>
      <c r="G22" s="397" t="s">
        <v>1264</v>
      </c>
      <c r="H22" s="398" t="s">
        <v>305</v>
      </c>
      <c r="I22" s="225">
        <v>4</v>
      </c>
      <c r="J22" s="225">
        <v>100</v>
      </c>
      <c r="K22" s="225">
        <v>100</v>
      </c>
      <c r="L22" s="225"/>
      <c r="M22" s="225">
        <v>4</v>
      </c>
      <c r="N22" s="400" t="s">
        <v>288</v>
      </c>
      <c r="O22" s="401" t="s">
        <v>1264</v>
      </c>
      <c r="P22" s="402"/>
      <c r="Q22" s="402"/>
      <c r="R22" s="402"/>
      <c r="S22" s="402"/>
      <c r="T22" s="402"/>
      <c r="U22" s="402"/>
      <c r="V22" s="402"/>
      <c r="W22" s="402"/>
      <c r="X22" s="402"/>
      <c r="Y22" s="402"/>
      <c r="Z22" s="402"/>
      <c r="AA22" s="402"/>
      <c r="AB22" s="402"/>
      <c r="AC22" s="402"/>
      <c r="AD22" s="402"/>
      <c r="AE22" s="402"/>
      <c r="AF22" s="402"/>
      <c r="AG22" s="402"/>
      <c r="AH22" s="402"/>
      <c r="AI22" s="402"/>
      <c r="AJ22" s="402"/>
      <c r="AK22" s="402"/>
      <c r="AL22" s="402"/>
      <c r="AM22" s="402"/>
      <c r="AN22" s="402"/>
      <c r="AO22" s="402"/>
      <c r="AP22" s="402"/>
      <c r="AQ22" s="402"/>
      <c r="AR22" s="402"/>
      <c r="AS22" s="402"/>
      <c r="AT22" s="402"/>
      <c r="AU22" s="402"/>
      <c r="AV22" s="402"/>
      <c r="AW22" s="402"/>
      <c r="AX22" s="402"/>
      <c r="AY22" s="402"/>
      <c r="AZ22" s="402"/>
      <c r="BA22" s="402"/>
      <c r="BB22" s="402"/>
      <c r="BC22" s="402"/>
      <c r="BD22" s="402"/>
      <c r="BE22" s="402"/>
      <c r="BF22" s="402"/>
      <c r="BG22" s="402"/>
      <c r="BH22" s="402"/>
      <c r="BI22" s="402"/>
      <c r="BJ22" s="402"/>
      <c r="BK22" s="402"/>
      <c r="BL22" s="402"/>
    </row>
    <row r="23" spans="1:64" ht="33" customHeight="1">
      <c r="A23" s="405" t="s">
        <v>33</v>
      </c>
      <c r="B23" s="405" t="s">
        <v>234</v>
      </c>
      <c r="C23" s="405" t="s">
        <v>370</v>
      </c>
      <c r="D23" s="406" t="s">
        <v>235</v>
      </c>
      <c r="E23" s="407"/>
      <c r="F23" s="408" t="s">
        <v>1177</v>
      </c>
      <c r="G23" s="377" t="s">
        <v>1264</v>
      </c>
      <c r="H23" s="398" t="s">
        <v>306</v>
      </c>
      <c r="I23" s="225" t="s">
        <v>307</v>
      </c>
      <c r="J23" s="399">
        <v>5000</v>
      </c>
      <c r="K23" s="225" t="s">
        <v>308</v>
      </c>
      <c r="L23" s="399">
        <v>1000</v>
      </c>
      <c r="M23" s="225">
        <v>200</v>
      </c>
      <c r="N23" s="400" t="s">
        <v>288</v>
      </c>
      <c r="O23" s="401" t="s">
        <v>1264</v>
      </c>
    </row>
    <row r="24" spans="1:64" ht="15.6">
      <c r="A24" s="405" t="s">
        <v>223</v>
      </c>
      <c r="B24" s="405" t="s">
        <v>1365</v>
      </c>
      <c r="C24" s="405" t="s">
        <v>1366</v>
      </c>
      <c r="D24" s="406" t="s">
        <v>1367</v>
      </c>
      <c r="E24" s="407"/>
      <c r="F24" s="409" t="s">
        <v>1138</v>
      </c>
      <c r="G24" s="377" t="s">
        <v>1264</v>
      </c>
      <c r="H24" s="398" t="s">
        <v>294</v>
      </c>
      <c r="I24" s="225">
        <v>5</v>
      </c>
      <c r="J24" s="225">
        <v>50</v>
      </c>
      <c r="K24" s="225">
        <v>10</v>
      </c>
      <c r="L24" s="225">
        <v>5</v>
      </c>
      <c r="M24" s="225">
        <v>5</v>
      </c>
      <c r="N24" s="400" t="s">
        <v>288</v>
      </c>
      <c r="O24" s="401" t="s">
        <v>1264</v>
      </c>
    </row>
    <row r="25" spans="1:64" ht="15.6">
      <c r="A25" s="405" t="s">
        <v>37</v>
      </c>
      <c r="B25" s="405" t="s">
        <v>1368</v>
      </c>
      <c r="C25" s="405" t="s">
        <v>1369</v>
      </c>
      <c r="D25" s="406" t="s">
        <v>1370</v>
      </c>
      <c r="E25" s="407" t="s">
        <v>1371</v>
      </c>
      <c r="F25" s="409" t="s">
        <v>1138</v>
      </c>
      <c r="G25" s="377" t="s">
        <v>1265</v>
      </c>
      <c r="H25" s="398" t="s">
        <v>309</v>
      </c>
      <c r="I25" s="225">
        <v>10</v>
      </c>
      <c r="J25" s="225">
        <v>100</v>
      </c>
      <c r="K25" s="399">
        <v>5000</v>
      </c>
      <c r="L25" s="225">
        <v>50</v>
      </c>
      <c r="M25" s="225">
        <v>10</v>
      </c>
      <c r="N25" s="400" t="s">
        <v>288</v>
      </c>
      <c r="O25" s="401" t="s">
        <v>1264</v>
      </c>
    </row>
    <row r="26" spans="1:64">
      <c r="A26" s="405" t="s">
        <v>34</v>
      </c>
      <c r="B26" s="405" t="s">
        <v>1180</v>
      </c>
      <c r="C26" s="405" t="s">
        <v>227</v>
      </c>
      <c r="D26" s="406" t="s">
        <v>227</v>
      </c>
      <c r="E26" s="407"/>
      <c r="F26" s="409" t="s">
        <v>1137</v>
      </c>
      <c r="G26" s="377" t="s">
        <v>1264</v>
      </c>
      <c r="H26" s="398" t="s">
        <v>295</v>
      </c>
      <c r="I26" s="225">
        <v>70</v>
      </c>
      <c r="J26" s="225"/>
      <c r="K26" s="225"/>
      <c r="L26" s="225">
        <v>100</v>
      </c>
      <c r="M26" s="225">
        <v>50</v>
      </c>
      <c r="N26" s="400" t="s">
        <v>288</v>
      </c>
      <c r="O26" s="401" t="s">
        <v>1264</v>
      </c>
    </row>
    <row r="27" spans="1:64" ht="28.8">
      <c r="A27" s="405" t="s">
        <v>224</v>
      </c>
      <c r="B27" s="405" t="s">
        <v>225</v>
      </c>
      <c r="C27" s="405" t="s">
        <v>226</v>
      </c>
      <c r="D27" s="406" t="s">
        <v>226</v>
      </c>
      <c r="E27" s="407"/>
      <c r="F27" s="409" t="s">
        <v>1139</v>
      </c>
      <c r="G27" s="377" t="s">
        <v>1264</v>
      </c>
      <c r="H27" s="398" t="s">
        <v>296</v>
      </c>
      <c r="I27" s="225" t="s">
        <v>297</v>
      </c>
      <c r="J27" s="225"/>
      <c r="K27" s="225" t="s">
        <v>298</v>
      </c>
      <c r="L27" s="399">
        <v>400000</v>
      </c>
      <c r="M27" s="225">
        <v>2000</v>
      </c>
      <c r="N27" s="400" t="s">
        <v>288</v>
      </c>
      <c r="O27" s="401" t="s">
        <v>1264</v>
      </c>
    </row>
    <row r="28" spans="1:64">
      <c r="A28" s="405" t="s">
        <v>35</v>
      </c>
      <c r="B28" s="405" t="s">
        <v>36</v>
      </c>
      <c r="C28" s="405" t="s">
        <v>36</v>
      </c>
      <c r="D28" s="406" t="s">
        <v>36</v>
      </c>
      <c r="E28" s="410" t="s">
        <v>36</v>
      </c>
      <c r="F28" s="409"/>
      <c r="H28" s="398" t="s">
        <v>299</v>
      </c>
      <c r="I28" s="225"/>
      <c r="J28" s="225">
        <v>1000</v>
      </c>
      <c r="K28" s="225">
        <v>50</v>
      </c>
      <c r="L28" s="225"/>
      <c r="M28" s="225">
        <v>10</v>
      </c>
      <c r="N28" s="400" t="s">
        <v>288</v>
      </c>
      <c r="O28" s="401" t="s">
        <v>1264</v>
      </c>
    </row>
    <row r="29" spans="1:64">
      <c r="A29" s="411"/>
      <c r="B29" s="1780" t="s">
        <v>23</v>
      </c>
      <c r="C29" s="1781"/>
      <c r="D29" s="1781"/>
      <c r="E29" s="1781"/>
      <c r="F29" s="1782"/>
      <c r="H29" s="398" t="s">
        <v>310</v>
      </c>
      <c r="I29" s="399">
        <v>2000</v>
      </c>
      <c r="J29" s="225">
        <v>500</v>
      </c>
      <c r="K29" s="225">
        <v>200</v>
      </c>
      <c r="L29" s="399">
        <v>1000</v>
      </c>
      <c r="M29" s="225">
        <v>50</v>
      </c>
      <c r="N29" s="400" t="s">
        <v>288</v>
      </c>
      <c r="O29" s="401" t="s">
        <v>1264</v>
      </c>
    </row>
    <row r="30" spans="1:64">
      <c r="A30" s="405" t="s">
        <v>1372</v>
      </c>
      <c r="B30" s="405" t="s">
        <v>38</v>
      </c>
      <c r="C30" s="405" t="s">
        <v>228</v>
      </c>
      <c r="D30" s="406" t="s">
        <v>236</v>
      </c>
      <c r="E30" s="412"/>
      <c r="F30" s="409" t="s">
        <v>1140</v>
      </c>
      <c r="G30" s="377" t="s">
        <v>1264</v>
      </c>
      <c r="H30" s="398" t="s">
        <v>280</v>
      </c>
      <c r="I30" s="225">
        <v>50</v>
      </c>
      <c r="J30" s="399">
        <v>1000</v>
      </c>
      <c r="K30" s="225">
        <v>100</v>
      </c>
      <c r="L30" s="225">
        <v>50</v>
      </c>
      <c r="M30" s="225">
        <v>10</v>
      </c>
      <c r="N30" s="400" t="s">
        <v>288</v>
      </c>
      <c r="O30" s="401" t="s">
        <v>1264</v>
      </c>
    </row>
    <row r="31" spans="1:64" ht="45">
      <c r="A31" s="405" t="s">
        <v>39</v>
      </c>
      <c r="B31" s="405" t="s">
        <v>1373</v>
      </c>
      <c r="C31" s="405" t="s">
        <v>1374</v>
      </c>
      <c r="D31" s="406" t="s">
        <v>1375</v>
      </c>
      <c r="E31" s="412"/>
      <c r="F31" s="413" t="s">
        <v>1191</v>
      </c>
      <c r="G31" s="377" t="s">
        <v>1264</v>
      </c>
      <c r="H31" s="398" t="s">
        <v>311</v>
      </c>
      <c r="I31" s="225" t="s">
        <v>312</v>
      </c>
      <c r="J31" s="225"/>
      <c r="K31" s="399">
        <v>5000</v>
      </c>
      <c r="L31" s="225">
        <v>300</v>
      </c>
      <c r="M31" s="225">
        <v>100</v>
      </c>
      <c r="N31" s="400" t="s">
        <v>288</v>
      </c>
      <c r="O31" s="401" t="s">
        <v>1264</v>
      </c>
    </row>
    <row r="32" spans="1:64">
      <c r="A32" s="405" t="s">
        <v>40</v>
      </c>
      <c r="B32" s="405" t="s">
        <v>41</v>
      </c>
      <c r="C32" s="405" t="s">
        <v>41</v>
      </c>
      <c r="D32" s="406" t="s">
        <v>41</v>
      </c>
      <c r="E32" s="412"/>
      <c r="F32" s="409" t="s">
        <v>1141</v>
      </c>
      <c r="G32" s="377" t="s">
        <v>1264</v>
      </c>
      <c r="H32" s="398" t="s">
        <v>313</v>
      </c>
      <c r="I32" s="399">
        <v>1500</v>
      </c>
      <c r="J32" s="399">
        <v>2000</v>
      </c>
      <c r="K32" s="399">
        <v>1000</v>
      </c>
      <c r="L32" s="225"/>
      <c r="M32" s="225">
        <v>500</v>
      </c>
      <c r="N32" s="400" t="s">
        <v>288</v>
      </c>
      <c r="O32" s="401" t="s">
        <v>1264</v>
      </c>
    </row>
    <row r="33" spans="1:15">
      <c r="A33" s="414"/>
      <c r="B33" s="1780" t="s">
        <v>110</v>
      </c>
      <c r="C33" s="1781"/>
      <c r="D33" s="1781"/>
      <c r="E33" s="1781"/>
      <c r="F33" s="1782"/>
      <c r="H33" s="398" t="s">
        <v>314</v>
      </c>
      <c r="I33" s="225"/>
      <c r="J33" s="225"/>
      <c r="K33" s="399">
        <v>2500</v>
      </c>
      <c r="L33" s="225"/>
      <c r="M33" s="225">
        <v>100</v>
      </c>
      <c r="N33" s="400" t="s">
        <v>288</v>
      </c>
      <c r="O33" s="401" t="s">
        <v>1264</v>
      </c>
    </row>
    <row r="34" spans="1:15">
      <c r="A34" s="405" t="s">
        <v>44</v>
      </c>
      <c r="B34" s="405" t="s">
        <v>45</v>
      </c>
      <c r="C34" s="405" t="s">
        <v>45</v>
      </c>
      <c r="D34" s="406" t="s">
        <v>237</v>
      </c>
      <c r="E34" s="412"/>
      <c r="F34" s="409" t="s">
        <v>1142</v>
      </c>
      <c r="G34" s="377" t="s">
        <v>1264</v>
      </c>
      <c r="H34" s="398" t="s">
        <v>315</v>
      </c>
      <c r="I34" s="225" t="s">
        <v>316</v>
      </c>
      <c r="J34" s="225">
        <v>50</v>
      </c>
      <c r="K34" s="225">
        <v>200</v>
      </c>
      <c r="L34" s="225">
        <v>100</v>
      </c>
      <c r="M34" s="225">
        <v>25</v>
      </c>
      <c r="N34" s="400" t="s">
        <v>288</v>
      </c>
      <c r="O34" s="401" t="s">
        <v>1264</v>
      </c>
    </row>
    <row r="35" spans="1:15">
      <c r="A35" s="405" t="s">
        <v>46</v>
      </c>
      <c r="B35" s="405" t="s">
        <v>47</v>
      </c>
      <c r="C35" s="405" t="s">
        <v>47</v>
      </c>
      <c r="D35" s="405"/>
      <c r="E35" s="412"/>
      <c r="F35" s="409" t="s">
        <v>1143</v>
      </c>
      <c r="G35" s="377" t="s">
        <v>1264</v>
      </c>
      <c r="H35" s="398" t="s">
        <v>317</v>
      </c>
      <c r="I35" s="225">
        <v>1</v>
      </c>
      <c r="J35" s="225">
        <v>10</v>
      </c>
      <c r="K35" s="225">
        <v>2</v>
      </c>
      <c r="L35" s="225">
        <v>1</v>
      </c>
      <c r="M35" s="225">
        <v>1</v>
      </c>
      <c r="N35" s="400" t="s">
        <v>288</v>
      </c>
      <c r="O35" s="401" t="s">
        <v>1264</v>
      </c>
    </row>
    <row r="36" spans="1:15">
      <c r="A36" s="405" t="s">
        <v>48</v>
      </c>
      <c r="B36" s="405" t="s">
        <v>49</v>
      </c>
      <c r="C36" s="405" t="s">
        <v>49</v>
      </c>
      <c r="D36" s="405" t="s">
        <v>238</v>
      </c>
      <c r="E36" s="412"/>
      <c r="F36" s="409" t="s">
        <v>1143</v>
      </c>
      <c r="G36" s="377" t="s">
        <v>1264</v>
      </c>
      <c r="H36" s="398" t="s">
        <v>318</v>
      </c>
      <c r="I36" s="225">
        <v>70</v>
      </c>
      <c r="J36" s="225">
        <v>150</v>
      </c>
      <c r="K36" s="225">
        <v>10</v>
      </c>
      <c r="L36" s="225"/>
      <c r="M36" s="225">
        <v>10</v>
      </c>
      <c r="N36" s="400" t="s">
        <v>288</v>
      </c>
      <c r="O36" s="401" t="s">
        <v>1264</v>
      </c>
    </row>
    <row r="37" spans="1:15">
      <c r="A37" s="405" t="s">
        <v>50</v>
      </c>
      <c r="B37" s="405" t="s">
        <v>51</v>
      </c>
      <c r="C37" s="405" t="s">
        <v>51</v>
      </c>
      <c r="D37" s="405" t="s">
        <v>239</v>
      </c>
      <c r="E37" s="412"/>
      <c r="F37" s="409" t="s">
        <v>1178</v>
      </c>
      <c r="G37" s="377" t="s">
        <v>1264</v>
      </c>
      <c r="H37" s="398" t="s">
        <v>319</v>
      </c>
      <c r="I37" s="225" t="s">
        <v>367</v>
      </c>
      <c r="J37" s="399">
        <v>1000</v>
      </c>
      <c r="K37" s="225">
        <v>200</v>
      </c>
      <c r="L37" s="225">
        <v>100</v>
      </c>
      <c r="M37" s="225">
        <v>10</v>
      </c>
      <c r="N37" s="400" t="s">
        <v>288</v>
      </c>
      <c r="O37" s="401" t="s">
        <v>1264</v>
      </c>
    </row>
    <row r="38" spans="1:15">
      <c r="A38" s="405" t="s">
        <v>52</v>
      </c>
      <c r="B38" s="405" t="s">
        <v>53</v>
      </c>
      <c r="C38" s="405" t="s">
        <v>53</v>
      </c>
      <c r="D38" s="405" t="s">
        <v>240</v>
      </c>
      <c r="E38" s="412"/>
      <c r="F38" s="409" t="s">
        <v>1192</v>
      </c>
      <c r="G38" s="377" t="s">
        <v>1264</v>
      </c>
      <c r="H38" s="398" t="s">
        <v>300</v>
      </c>
      <c r="I38" s="399">
        <v>10000</v>
      </c>
      <c r="J38" s="399">
        <v>90000</v>
      </c>
      <c r="K38" s="225"/>
      <c r="L38" s="399">
        <v>10000</v>
      </c>
      <c r="M38" s="225">
        <v>300</v>
      </c>
      <c r="N38" s="400" t="s">
        <v>288</v>
      </c>
      <c r="O38" s="401" t="s">
        <v>1264</v>
      </c>
    </row>
    <row r="39" spans="1:15">
      <c r="A39" s="405" t="s">
        <v>54</v>
      </c>
      <c r="B39" s="405" t="s">
        <v>55</v>
      </c>
      <c r="C39" s="405" t="s">
        <v>55</v>
      </c>
      <c r="D39" s="405" t="s">
        <v>241</v>
      </c>
      <c r="E39" s="412"/>
      <c r="F39" s="409" t="s">
        <v>1193</v>
      </c>
      <c r="G39" s="377" t="s">
        <v>1264</v>
      </c>
      <c r="H39" s="398" t="s">
        <v>301</v>
      </c>
      <c r="I39" s="399">
        <v>1000</v>
      </c>
      <c r="J39" s="399">
        <v>10000</v>
      </c>
      <c r="K39" s="399">
        <v>1000</v>
      </c>
      <c r="L39" s="399">
        <v>1000</v>
      </c>
      <c r="M39" s="225">
        <v>20</v>
      </c>
      <c r="N39" s="400" t="s">
        <v>288</v>
      </c>
      <c r="O39" s="401" t="s">
        <v>1264</v>
      </c>
    </row>
    <row r="40" spans="1:15">
      <c r="A40" s="405" t="s">
        <v>56</v>
      </c>
      <c r="B40" s="405" t="s">
        <v>57</v>
      </c>
      <c r="C40" s="405" t="s">
        <v>57</v>
      </c>
      <c r="D40" s="405" t="s">
        <v>242</v>
      </c>
      <c r="E40" s="412"/>
      <c r="F40" s="409" t="s">
        <v>1194</v>
      </c>
      <c r="G40" s="377" t="s">
        <v>1264</v>
      </c>
      <c r="H40" s="398" t="s">
        <v>320</v>
      </c>
      <c r="I40" s="225">
        <v>100</v>
      </c>
      <c r="J40" s="225"/>
      <c r="K40" s="225"/>
      <c r="L40" s="225">
        <v>50</v>
      </c>
      <c r="M40" s="225">
        <v>10</v>
      </c>
      <c r="N40" s="400" t="s">
        <v>288</v>
      </c>
      <c r="O40" s="401" t="s">
        <v>1264</v>
      </c>
    </row>
    <row r="41" spans="1:15">
      <c r="A41" s="405" t="s">
        <v>58</v>
      </c>
      <c r="B41" s="405" t="s">
        <v>59</v>
      </c>
      <c r="C41" s="405" t="s">
        <v>59</v>
      </c>
      <c r="D41" s="405" t="s">
        <v>243</v>
      </c>
      <c r="E41" s="412"/>
      <c r="F41" s="409" t="s">
        <v>1195</v>
      </c>
      <c r="G41" s="377" t="s">
        <v>1264</v>
      </c>
      <c r="H41" s="398" t="s">
        <v>321</v>
      </c>
      <c r="I41" s="225">
        <v>10</v>
      </c>
      <c r="J41" s="225">
        <v>50</v>
      </c>
      <c r="K41" s="225">
        <v>20</v>
      </c>
      <c r="L41" s="225">
        <v>10</v>
      </c>
      <c r="M41" s="225">
        <v>10</v>
      </c>
      <c r="N41" s="400" t="s">
        <v>288</v>
      </c>
      <c r="O41" s="401" t="s">
        <v>1264</v>
      </c>
    </row>
    <row r="42" spans="1:15">
      <c r="A42" s="405" t="s">
        <v>60</v>
      </c>
      <c r="B42" s="405" t="s">
        <v>61</v>
      </c>
      <c r="C42" s="405" t="s">
        <v>61</v>
      </c>
      <c r="D42" s="405" t="s">
        <v>244</v>
      </c>
      <c r="E42" s="412"/>
      <c r="F42" s="409" t="s">
        <v>1196</v>
      </c>
      <c r="G42" s="377" t="s">
        <v>1264</v>
      </c>
      <c r="H42" s="398" t="s">
        <v>322</v>
      </c>
      <c r="I42" s="225" t="s">
        <v>323</v>
      </c>
      <c r="J42" s="225"/>
      <c r="K42" s="225"/>
      <c r="L42" s="399">
        <v>300000</v>
      </c>
      <c r="M42" s="225">
        <v>1000</v>
      </c>
      <c r="N42" s="400" t="s">
        <v>288</v>
      </c>
      <c r="O42" s="401" t="s">
        <v>1264</v>
      </c>
    </row>
    <row r="43" spans="1:15">
      <c r="A43" s="405" t="s">
        <v>62</v>
      </c>
      <c r="B43" s="405" t="s">
        <v>63</v>
      </c>
      <c r="C43" s="405" t="s">
        <v>63</v>
      </c>
      <c r="D43" s="405" t="s">
        <v>63</v>
      </c>
      <c r="E43" s="412"/>
      <c r="F43" s="409" t="s">
        <v>1149</v>
      </c>
      <c r="G43" s="377" t="s">
        <v>1264</v>
      </c>
      <c r="H43" s="398" t="s">
        <v>302</v>
      </c>
      <c r="I43" s="225" t="s">
        <v>368</v>
      </c>
      <c r="J43" s="225"/>
      <c r="K43" s="225"/>
      <c r="L43" s="225"/>
      <c r="M43" s="399">
        <v>2000</v>
      </c>
      <c r="N43" s="400" t="s">
        <v>288</v>
      </c>
      <c r="O43" s="401" t="s">
        <v>1264</v>
      </c>
    </row>
    <row r="44" spans="1:15">
      <c r="A44" s="405" t="s">
        <v>64</v>
      </c>
      <c r="B44" s="405" t="s">
        <v>232</v>
      </c>
      <c r="C44" s="405" t="s">
        <v>232</v>
      </c>
      <c r="D44" s="405"/>
      <c r="E44" s="412"/>
      <c r="F44" s="409" t="s">
        <v>1149</v>
      </c>
      <c r="G44" s="377" t="s">
        <v>1264</v>
      </c>
      <c r="H44" s="398" t="s">
        <v>324</v>
      </c>
      <c r="I44" s="225" t="s">
        <v>325</v>
      </c>
      <c r="J44" s="399">
        <v>1000000</v>
      </c>
      <c r="K44" s="225"/>
      <c r="L44" s="399">
        <v>400000</v>
      </c>
      <c r="M44" s="399">
        <v>5000</v>
      </c>
      <c r="N44" s="400" t="s">
        <v>288</v>
      </c>
      <c r="O44" s="401" t="s">
        <v>1264</v>
      </c>
    </row>
    <row r="45" spans="1:15">
      <c r="A45" s="405" t="s">
        <v>65</v>
      </c>
      <c r="B45" s="405" t="s">
        <v>233</v>
      </c>
      <c r="C45" s="405" t="s">
        <v>233</v>
      </c>
      <c r="D45" s="405" t="s">
        <v>245</v>
      </c>
      <c r="E45" s="412"/>
      <c r="F45" s="409" t="s">
        <v>1197</v>
      </c>
      <c r="G45" s="377" t="s">
        <v>1264</v>
      </c>
      <c r="H45" s="398" t="s">
        <v>326</v>
      </c>
      <c r="I45" s="225" t="s">
        <v>327</v>
      </c>
      <c r="J45" s="225">
        <v>200</v>
      </c>
      <c r="K45" s="225" t="s">
        <v>328</v>
      </c>
      <c r="L45" s="225"/>
      <c r="M45" s="225"/>
      <c r="N45" s="400" t="s">
        <v>288</v>
      </c>
      <c r="O45" s="401" t="s">
        <v>1264</v>
      </c>
    </row>
    <row r="46" spans="1:15">
      <c r="A46" s="405" t="s">
        <v>66</v>
      </c>
      <c r="B46" s="405" t="s">
        <v>67</v>
      </c>
      <c r="C46" s="405" t="s">
        <v>67</v>
      </c>
      <c r="D46" s="405" t="s">
        <v>246</v>
      </c>
      <c r="E46" s="412"/>
      <c r="F46" s="409" t="s">
        <v>1198</v>
      </c>
      <c r="G46" s="377" t="s">
        <v>1264</v>
      </c>
      <c r="H46" s="398" t="s">
        <v>303</v>
      </c>
      <c r="I46" s="225">
        <v>50</v>
      </c>
      <c r="J46" s="225"/>
      <c r="K46" s="225"/>
      <c r="L46" s="225"/>
      <c r="M46" s="225"/>
      <c r="N46" s="400" t="s">
        <v>288</v>
      </c>
      <c r="O46" s="401" t="s">
        <v>1264</v>
      </c>
    </row>
    <row r="47" spans="1:15">
      <c r="A47" s="405" t="s">
        <v>68</v>
      </c>
      <c r="B47" s="405" t="s">
        <v>69</v>
      </c>
      <c r="C47" s="405" t="s">
        <v>69</v>
      </c>
      <c r="D47" s="405" t="s">
        <v>69</v>
      </c>
      <c r="E47" s="412"/>
      <c r="F47" s="409" t="s">
        <v>1199</v>
      </c>
      <c r="G47" s="377" t="s">
        <v>1264</v>
      </c>
      <c r="H47" s="398" t="s">
        <v>329</v>
      </c>
      <c r="I47" s="225">
        <v>50</v>
      </c>
      <c r="J47" s="225">
        <v>100</v>
      </c>
      <c r="K47" s="225">
        <v>100</v>
      </c>
      <c r="L47" s="225"/>
      <c r="M47" s="225">
        <v>20</v>
      </c>
      <c r="N47" s="400" t="s">
        <v>288</v>
      </c>
      <c r="O47" s="401" t="s">
        <v>1264</v>
      </c>
    </row>
    <row r="48" spans="1:15">
      <c r="A48" s="405" t="s">
        <v>70</v>
      </c>
      <c r="B48" s="405" t="s">
        <v>71</v>
      </c>
      <c r="C48" s="405" t="s">
        <v>71</v>
      </c>
      <c r="D48" s="405" t="s">
        <v>247</v>
      </c>
      <c r="E48" s="412"/>
      <c r="F48" s="409" t="s">
        <v>1200</v>
      </c>
      <c r="G48" s="377" t="s">
        <v>1264</v>
      </c>
      <c r="H48" s="398" t="s">
        <v>330</v>
      </c>
      <c r="I48" s="225" t="s">
        <v>331</v>
      </c>
      <c r="J48" s="399">
        <v>24000</v>
      </c>
      <c r="K48" s="399">
        <v>2000</v>
      </c>
      <c r="L48" s="399">
        <v>5000</v>
      </c>
      <c r="M48" s="225">
        <v>100</v>
      </c>
      <c r="N48" s="400" t="s">
        <v>288</v>
      </c>
      <c r="O48" s="401" t="s">
        <v>1264</v>
      </c>
    </row>
    <row r="49" spans="1:15">
      <c r="A49" s="405" t="s">
        <v>72</v>
      </c>
      <c r="B49" s="405" t="s">
        <v>73</v>
      </c>
      <c r="C49" s="405" t="s">
        <v>73</v>
      </c>
      <c r="D49" s="405" t="s">
        <v>73</v>
      </c>
      <c r="E49" s="412"/>
      <c r="F49" s="409" t="s">
        <v>1200</v>
      </c>
      <c r="G49" s="377" t="s">
        <v>1264</v>
      </c>
      <c r="H49" s="411"/>
      <c r="I49" s="1774" t="s">
        <v>304</v>
      </c>
      <c r="J49" s="1775"/>
      <c r="K49" s="1775"/>
      <c r="L49" s="1775"/>
      <c r="M49" s="1775"/>
      <c r="N49" s="1776"/>
    </row>
    <row r="50" spans="1:15">
      <c r="A50" s="405" t="s">
        <v>74</v>
      </c>
      <c r="B50" s="405" t="s">
        <v>75</v>
      </c>
      <c r="C50" s="405" t="s">
        <v>229</v>
      </c>
      <c r="D50" s="405" t="s">
        <v>248</v>
      </c>
      <c r="E50" s="412"/>
      <c r="F50" s="409" t="s">
        <v>1195</v>
      </c>
      <c r="G50" s="377" t="s">
        <v>1264</v>
      </c>
      <c r="H50" s="398" t="s">
        <v>332</v>
      </c>
      <c r="I50" s="225">
        <v>0.5</v>
      </c>
      <c r="J50" s="225"/>
      <c r="K50" s="225"/>
      <c r="L50" s="225"/>
      <c r="M50" s="225">
        <v>0.15</v>
      </c>
      <c r="N50" s="400" t="s">
        <v>288</v>
      </c>
      <c r="O50" s="378" t="s">
        <v>1264</v>
      </c>
    </row>
    <row r="51" spans="1:15" ht="43.2">
      <c r="A51" s="405" t="s">
        <v>76</v>
      </c>
      <c r="B51" s="405" t="s">
        <v>43</v>
      </c>
      <c r="C51" s="405" t="s">
        <v>230</v>
      </c>
      <c r="D51" s="405" t="s">
        <v>249</v>
      </c>
      <c r="E51" s="412"/>
      <c r="F51" s="409" t="s">
        <v>1201</v>
      </c>
      <c r="G51" s="377" t="s">
        <v>1264</v>
      </c>
      <c r="H51" s="398" t="s">
        <v>333</v>
      </c>
      <c r="I51" s="225">
        <v>5</v>
      </c>
      <c r="J51" s="225"/>
      <c r="K51" s="225"/>
      <c r="L51" s="225">
        <v>10</v>
      </c>
      <c r="M51" s="225">
        <v>2</v>
      </c>
      <c r="N51" s="400" t="s">
        <v>288</v>
      </c>
      <c r="O51" s="378" t="s">
        <v>1264</v>
      </c>
    </row>
    <row r="52" spans="1:15" ht="28.8">
      <c r="A52" s="405" t="s">
        <v>83</v>
      </c>
      <c r="B52" s="405" t="s">
        <v>77</v>
      </c>
      <c r="C52" s="405" t="s">
        <v>77</v>
      </c>
      <c r="D52" s="405" t="s">
        <v>250</v>
      </c>
      <c r="E52" s="412"/>
      <c r="F52" s="409" t="s">
        <v>1201</v>
      </c>
      <c r="G52" s="377" t="s">
        <v>1264</v>
      </c>
      <c r="H52" s="398" t="s">
        <v>334</v>
      </c>
      <c r="I52" s="225">
        <v>0.05</v>
      </c>
      <c r="J52" s="225"/>
      <c r="K52" s="225"/>
      <c r="L52" s="225"/>
      <c r="M52" s="225">
        <v>0.15</v>
      </c>
      <c r="N52" s="400" t="s">
        <v>288</v>
      </c>
      <c r="O52" s="378" t="s">
        <v>1264</v>
      </c>
    </row>
    <row r="53" spans="1:15">
      <c r="A53" s="405" t="s">
        <v>84</v>
      </c>
      <c r="B53" s="405" t="s">
        <v>85</v>
      </c>
      <c r="C53" s="405" t="s">
        <v>85</v>
      </c>
      <c r="D53" s="405" t="s">
        <v>85</v>
      </c>
      <c r="E53" s="412"/>
      <c r="F53" s="409" t="s">
        <v>1202</v>
      </c>
      <c r="G53" s="377" t="s">
        <v>1264</v>
      </c>
      <c r="H53" s="398" t="s">
        <v>341</v>
      </c>
      <c r="I53" s="225">
        <v>0.05</v>
      </c>
      <c r="J53" s="225"/>
      <c r="K53" s="225"/>
      <c r="L53" s="225"/>
      <c r="M53" s="225">
        <v>0.15</v>
      </c>
      <c r="N53" s="400" t="s">
        <v>288</v>
      </c>
      <c r="O53" s="378" t="s">
        <v>1264</v>
      </c>
    </row>
    <row r="54" spans="1:15">
      <c r="A54" s="405" t="s">
        <v>86</v>
      </c>
      <c r="B54" s="405" t="s">
        <v>87</v>
      </c>
      <c r="C54" s="405" t="s">
        <v>87</v>
      </c>
      <c r="D54" s="405" t="s">
        <v>251</v>
      </c>
      <c r="E54" s="412"/>
      <c r="F54" s="409" t="s">
        <v>1203</v>
      </c>
      <c r="G54" s="377" t="s">
        <v>1264</v>
      </c>
      <c r="H54" s="398" t="s">
        <v>335</v>
      </c>
      <c r="I54" s="225">
        <v>0.05</v>
      </c>
      <c r="J54" s="225"/>
      <c r="K54" s="225"/>
      <c r="L54" s="225"/>
      <c r="M54" s="225">
        <v>0.15</v>
      </c>
      <c r="N54" s="400" t="s">
        <v>288</v>
      </c>
      <c r="O54" s="378" t="s">
        <v>1264</v>
      </c>
    </row>
    <row r="55" spans="1:15">
      <c r="A55" s="405" t="s">
        <v>88</v>
      </c>
      <c r="B55" s="405" t="s">
        <v>89</v>
      </c>
      <c r="C55" s="405" t="s">
        <v>89</v>
      </c>
      <c r="D55" s="405" t="s">
        <v>252</v>
      </c>
      <c r="E55" s="412"/>
      <c r="F55" s="409" t="s">
        <v>1204</v>
      </c>
      <c r="G55" s="377" t="s">
        <v>1264</v>
      </c>
      <c r="H55" s="398" t="s">
        <v>342</v>
      </c>
      <c r="I55" s="225">
        <v>0.05</v>
      </c>
      <c r="J55" s="225"/>
      <c r="K55" s="225"/>
      <c r="L55" s="225">
        <v>0.01</v>
      </c>
      <c r="M55" s="225">
        <v>0.15</v>
      </c>
      <c r="N55" s="400" t="s">
        <v>288</v>
      </c>
      <c r="O55" s="378" t="s">
        <v>1264</v>
      </c>
    </row>
    <row r="56" spans="1:15">
      <c r="A56" s="405" t="s">
        <v>90</v>
      </c>
      <c r="B56" s="405" t="s">
        <v>91</v>
      </c>
      <c r="C56" s="405" t="s">
        <v>91</v>
      </c>
      <c r="D56" s="405" t="s">
        <v>91</v>
      </c>
      <c r="E56" s="412"/>
      <c r="F56" s="409" t="s">
        <v>1205</v>
      </c>
      <c r="G56" s="377" t="s">
        <v>1264</v>
      </c>
      <c r="H56" s="398" t="s">
        <v>343</v>
      </c>
      <c r="I56" s="225">
        <v>5</v>
      </c>
      <c r="J56" s="225"/>
      <c r="K56" s="225"/>
      <c r="L56" s="225"/>
      <c r="M56" s="225">
        <v>2</v>
      </c>
      <c r="N56" s="400" t="s">
        <v>288</v>
      </c>
      <c r="O56" s="378" t="s">
        <v>1264</v>
      </c>
    </row>
    <row r="57" spans="1:15">
      <c r="A57" s="405" t="s">
        <v>92</v>
      </c>
      <c r="B57" s="405" t="s">
        <v>93</v>
      </c>
      <c r="C57" s="405" t="s">
        <v>93</v>
      </c>
      <c r="D57" s="405" t="s">
        <v>93</v>
      </c>
      <c r="E57" s="412"/>
      <c r="F57" s="409" t="s">
        <v>1206</v>
      </c>
      <c r="G57" s="377" t="s">
        <v>1264</v>
      </c>
      <c r="H57" s="398" t="s">
        <v>336</v>
      </c>
      <c r="I57" s="225">
        <v>200</v>
      </c>
      <c r="J57" s="225">
        <v>100</v>
      </c>
      <c r="K57" s="225"/>
      <c r="L57" s="225"/>
      <c r="M57" s="225">
        <v>5</v>
      </c>
      <c r="N57" s="400" t="s">
        <v>288</v>
      </c>
      <c r="O57" s="378" t="s">
        <v>1264</v>
      </c>
    </row>
    <row r="58" spans="1:15">
      <c r="A58" s="405" t="s">
        <v>94</v>
      </c>
      <c r="B58" s="405" t="s">
        <v>95</v>
      </c>
      <c r="C58" s="405" t="s">
        <v>95</v>
      </c>
      <c r="D58" s="405" t="s">
        <v>95</v>
      </c>
      <c r="E58" s="412"/>
      <c r="F58" s="409" t="s">
        <v>1206</v>
      </c>
      <c r="G58" s="377" t="s">
        <v>1264</v>
      </c>
      <c r="H58" s="398" t="s">
        <v>337</v>
      </c>
      <c r="I58" s="225">
        <v>0.05</v>
      </c>
      <c r="J58" s="225"/>
      <c r="K58" s="225"/>
      <c r="L58" s="225"/>
      <c r="M58" s="225">
        <v>0.15</v>
      </c>
      <c r="N58" s="400" t="s">
        <v>288</v>
      </c>
      <c r="O58" s="378" t="s">
        <v>1264</v>
      </c>
    </row>
    <row r="59" spans="1:15">
      <c r="A59" s="1784" t="s">
        <v>78</v>
      </c>
      <c r="B59" s="405" t="s">
        <v>79</v>
      </c>
      <c r="C59" s="405" t="s">
        <v>79</v>
      </c>
      <c r="D59" s="405" t="s">
        <v>253</v>
      </c>
      <c r="E59" s="412"/>
      <c r="F59" s="409" t="s">
        <v>1206</v>
      </c>
      <c r="G59" s="377" t="s">
        <v>1264</v>
      </c>
      <c r="H59" s="398" t="s">
        <v>338</v>
      </c>
      <c r="I59" s="225" t="s">
        <v>344</v>
      </c>
      <c r="J59" s="225"/>
      <c r="K59" s="225"/>
      <c r="L59" s="225"/>
      <c r="M59" s="225">
        <v>5</v>
      </c>
      <c r="N59" s="400" t="s">
        <v>288</v>
      </c>
      <c r="O59" s="378" t="s">
        <v>1264</v>
      </c>
    </row>
    <row r="60" spans="1:15">
      <c r="A60" s="1784"/>
      <c r="B60" s="405" t="s">
        <v>80</v>
      </c>
      <c r="C60" s="405" t="s">
        <v>80</v>
      </c>
      <c r="D60" s="405" t="s">
        <v>254</v>
      </c>
      <c r="E60" s="412"/>
      <c r="F60" s="409" t="s">
        <v>1206</v>
      </c>
      <c r="G60" s="377" t="s">
        <v>1264</v>
      </c>
      <c r="H60" s="398" t="s">
        <v>339</v>
      </c>
      <c r="I60" s="225" t="s">
        <v>345</v>
      </c>
      <c r="J60" s="225"/>
      <c r="K60" s="225"/>
      <c r="L60" s="225"/>
      <c r="M60" s="225">
        <v>5</v>
      </c>
      <c r="N60" s="400" t="s">
        <v>288</v>
      </c>
      <c r="O60" s="378" t="s">
        <v>1264</v>
      </c>
    </row>
    <row r="61" spans="1:15">
      <c r="A61" s="1784"/>
      <c r="B61" s="405" t="s">
        <v>81</v>
      </c>
      <c r="C61" s="405" t="s">
        <v>81</v>
      </c>
      <c r="D61" s="405" t="s">
        <v>255</v>
      </c>
      <c r="E61" s="412"/>
      <c r="F61" s="409" t="s">
        <v>1206</v>
      </c>
      <c r="G61" s="377" t="s">
        <v>1264</v>
      </c>
      <c r="H61" s="398" t="s">
        <v>340</v>
      </c>
      <c r="I61" s="225">
        <v>10</v>
      </c>
      <c r="J61" s="225">
        <v>5</v>
      </c>
      <c r="K61" s="225"/>
      <c r="L61" s="225">
        <v>10</v>
      </c>
      <c r="M61" s="225">
        <v>5</v>
      </c>
      <c r="N61" s="400" t="s">
        <v>288</v>
      </c>
      <c r="O61" s="378" t="s">
        <v>1264</v>
      </c>
    </row>
    <row r="62" spans="1:15">
      <c r="A62" s="1784"/>
      <c r="B62" s="405" t="s">
        <v>82</v>
      </c>
      <c r="C62" s="405" t="s">
        <v>82</v>
      </c>
      <c r="D62" s="405" t="s">
        <v>256</v>
      </c>
      <c r="E62" s="412"/>
      <c r="F62" s="409" t="s">
        <v>1206</v>
      </c>
      <c r="G62" s="377" t="s">
        <v>1264</v>
      </c>
      <c r="H62" s="398" t="s">
        <v>354</v>
      </c>
      <c r="I62" s="225">
        <v>30</v>
      </c>
      <c r="J62" s="225"/>
      <c r="K62" s="225"/>
      <c r="L62" s="225">
        <v>0.3</v>
      </c>
      <c r="M62" s="225">
        <v>5</v>
      </c>
      <c r="N62" s="400" t="s">
        <v>288</v>
      </c>
      <c r="O62" s="378" t="s">
        <v>1264</v>
      </c>
    </row>
    <row r="63" spans="1:15">
      <c r="A63" s="405" t="s">
        <v>96</v>
      </c>
      <c r="B63" s="405" t="s">
        <v>97</v>
      </c>
      <c r="C63" s="405" t="s">
        <v>97</v>
      </c>
      <c r="D63" s="405" t="s">
        <v>257</v>
      </c>
      <c r="E63" s="412"/>
      <c r="F63" s="409" t="s">
        <v>1207</v>
      </c>
      <c r="G63" s="377" t="s">
        <v>1264</v>
      </c>
      <c r="H63" s="398" t="s">
        <v>346</v>
      </c>
      <c r="I63" s="225"/>
      <c r="J63" s="225"/>
      <c r="K63" s="225"/>
      <c r="L63" s="225"/>
      <c r="M63" s="225"/>
      <c r="N63" s="400" t="s">
        <v>288</v>
      </c>
      <c r="O63" s="378" t="s">
        <v>1264</v>
      </c>
    </row>
    <row r="64" spans="1:15">
      <c r="A64" s="405" t="s">
        <v>98</v>
      </c>
      <c r="B64" s="405" t="s">
        <v>99</v>
      </c>
      <c r="C64" s="405" t="s">
        <v>99</v>
      </c>
      <c r="D64" s="405" t="s">
        <v>258</v>
      </c>
      <c r="E64" s="412"/>
      <c r="F64" s="409" t="s">
        <v>1208</v>
      </c>
      <c r="G64" s="377" t="s">
        <v>1264</v>
      </c>
      <c r="H64" s="398" t="s">
        <v>348</v>
      </c>
      <c r="I64" s="225"/>
      <c r="J64" s="225"/>
      <c r="K64" s="225"/>
      <c r="L64" s="225"/>
      <c r="M64" s="225"/>
      <c r="N64" s="400" t="s">
        <v>288</v>
      </c>
      <c r="O64" s="378" t="s">
        <v>1264</v>
      </c>
    </row>
    <row r="65" spans="1:15" ht="15.6">
      <c r="A65" s="405" t="s">
        <v>100</v>
      </c>
      <c r="B65" s="405" t="s">
        <v>101</v>
      </c>
      <c r="C65" s="405" t="s">
        <v>1376</v>
      </c>
      <c r="D65" s="405" t="s">
        <v>1376</v>
      </c>
      <c r="E65" s="412"/>
      <c r="F65" s="409" t="s">
        <v>1209</v>
      </c>
      <c r="G65" s="377" t="s">
        <v>1264</v>
      </c>
      <c r="H65" s="398" t="s">
        <v>349</v>
      </c>
      <c r="I65" s="225">
        <v>50</v>
      </c>
      <c r="J65" s="225"/>
      <c r="K65" s="225"/>
      <c r="L65" s="225" t="s">
        <v>350</v>
      </c>
      <c r="M65" s="225"/>
      <c r="N65" s="400" t="s">
        <v>288</v>
      </c>
      <c r="O65" s="378" t="s">
        <v>1264</v>
      </c>
    </row>
    <row r="66" spans="1:15">
      <c r="A66" s="405" t="s">
        <v>102</v>
      </c>
      <c r="B66" s="405" t="s">
        <v>103</v>
      </c>
      <c r="C66" s="405" t="s">
        <v>260</v>
      </c>
      <c r="D66" s="405" t="s">
        <v>259</v>
      </c>
      <c r="E66" s="412"/>
      <c r="F66" s="409" t="s">
        <v>1210</v>
      </c>
      <c r="G66" s="377" t="s">
        <v>1264</v>
      </c>
      <c r="H66" s="398" t="s">
        <v>355</v>
      </c>
      <c r="I66" s="225">
        <v>0.05</v>
      </c>
      <c r="J66" s="225"/>
      <c r="K66" s="225"/>
      <c r="L66" s="225"/>
      <c r="M66" s="225">
        <v>0.15</v>
      </c>
      <c r="N66" s="400" t="s">
        <v>288</v>
      </c>
      <c r="O66" s="378" t="s">
        <v>1264</v>
      </c>
    </row>
    <row r="67" spans="1:15">
      <c r="A67" s="405" t="s">
        <v>104</v>
      </c>
      <c r="B67" s="405" t="s">
        <v>105</v>
      </c>
      <c r="C67" s="405" t="s">
        <v>105</v>
      </c>
      <c r="D67" s="405" t="s">
        <v>105</v>
      </c>
      <c r="E67" s="412"/>
      <c r="F67" s="409" t="s">
        <v>1211</v>
      </c>
      <c r="G67" s="377" t="s">
        <v>1264</v>
      </c>
      <c r="H67" s="398" t="s">
        <v>356</v>
      </c>
      <c r="I67" s="225">
        <v>20</v>
      </c>
      <c r="J67" s="225">
        <v>50</v>
      </c>
      <c r="K67" s="225"/>
      <c r="L67" s="225"/>
      <c r="M67" s="225">
        <v>10</v>
      </c>
      <c r="N67" s="400" t="s">
        <v>288</v>
      </c>
      <c r="O67" s="378" t="s">
        <v>1264</v>
      </c>
    </row>
    <row r="68" spans="1:15">
      <c r="A68" s="405" t="s">
        <v>106</v>
      </c>
      <c r="B68" s="405" t="s">
        <v>107</v>
      </c>
      <c r="C68" s="405" t="s">
        <v>107</v>
      </c>
      <c r="D68" s="405" t="s">
        <v>107</v>
      </c>
      <c r="E68" s="412"/>
      <c r="F68" s="409" t="s">
        <v>1212</v>
      </c>
      <c r="G68" s="377" t="s">
        <v>1264</v>
      </c>
      <c r="H68" s="398" t="s">
        <v>357</v>
      </c>
      <c r="I68" s="225">
        <v>20</v>
      </c>
      <c r="J68" s="225"/>
      <c r="K68" s="225"/>
      <c r="L68" s="225"/>
      <c r="M68" s="225">
        <v>5</v>
      </c>
      <c r="N68" s="400" t="s">
        <v>288</v>
      </c>
      <c r="O68" s="378" t="s">
        <v>1264</v>
      </c>
    </row>
    <row r="69" spans="1:15">
      <c r="A69" s="405" t="s">
        <v>108</v>
      </c>
      <c r="B69" s="405" t="s">
        <v>109</v>
      </c>
      <c r="C69" s="405" t="s">
        <v>109</v>
      </c>
      <c r="D69" s="405" t="s">
        <v>261</v>
      </c>
      <c r="E69" s="412"/>
      <c r="F69" s="409" t="s">
        <v>1213</v>
      </c>
      <c r="G69" s="377" t="s">
        <v>1264</v>
      </c>
      <c r="H69" s="398" t="s">
        <v>358</v>
      </c>
      <c r="I69" s="225" t="s">
        <v>290</v>
      </c>
      <c r="J69" s="225"/>
      <c r="K69" s="225"/>
      <c r="L69" s="225"/>
      <c r="M69" s="225">
        <v>5</v>
      </c>
      <c r="N69" s="400" t="s">
        <v>288</v>
      </c>
      <c r="O69" s="378" t="s">
        <v>1264</v>
      </c>
    </row>
    <row r="70" spans="1:15">
      <c r="A70" s="416"/>
      <c r="B70" s="1780" t="s">
        <v>111</v>
      </c>
      <c r="C70" s="1781"/>
      <c r="D70" s="1781"/>
      <c r="E70" s="1781"/>
      <c r="F70" s="1782"/>
      <c r="H70" s="398" t="s">
        <v>359</v>
      </c>
      <c r="I70" s="225">
        <v>3</v>
      </c>
      <c r="J70" s="225">
        <v>2</v>
      </c>
      <c r="K70" s="225"/>
      <c r="L70" s="225">
        <v>2</v>
      </c>
      <c r="M70" s="225">
        <v>10</v>
      </c>
      <c r="N70" s="400" t="s">
        <v>288</v>
      </c>
      <c r="O70" s="378" t="s">
        <v>1264</v>
      </c>
    </row>
    <row r="71" spans="1:15">
      <c r="A71" s="405" t="s">
        <v>112</v>
      </c>
      <c r="B71" s="405" t="s">
        <v>113</v>
      </c>
      <c r="C71" s="405" t="s">
        <v>113</v>
      </c>
      <c r="D71" s="405"/>
      <c r="E71" s="412"/>
      <c r="F71" s="409" t="s">
        <v>1140</v>
      </c>
      <c r="G71" s="377" t="s">
        <v>1264</v>
      </c>
      <c r="H71" s="398" t="s">
        <v>360</v>
      </c>
      <c r="I71" s="225">
        <v>0.05</v>
      </c>
      <c r="J71" s="225"/>
      <c r="K71" s="225"/>
      <c r="L71" s="225"/>
      <c r="M71" s="225">
        <v>0.15</v>
      </c>
      <c r="N71" s="400" t="s">
        <v>288</v>
      </c>
      <c r="O71" s="378" t="s">
        <v>1264</v>
      </c>
    </row>
    <row r="72" spans="1:15">
      <c r="A72" s="405" t="s">
        <v>114</v>
      </c>
      <c r="B72" s="405" t="s">
        <v>115</v>
      </c>
      <c r="C72" s="405" t="s">
        <v>115</v>
      </c>
      <c r="D72" s="405"/>
      <c r="E72" s="412"/>
      <c r="F72" s="409" t="s">
        <v>1140</v>
      </c>
      <c r="G72" s="377" t="s">
        <v>1264</v>
      </c>
      <c r="H72" s="398" t="s">
        <v>351</v>
      </c>
      <c r="I72" s="225">
        <v>0.5</v>
      </c>
      <c r="J72" s="225"/>
      <c r="K72" s="225"/>
      <c r="L72" s="225">
        <v>0.1</v>
      </c>
      <c r="M72" s="225" t="s">
        <v>361</v>
      </c>
      <c r="N72" s="400" t="s">
        <v>288</v>
      </c>
      <c r="O72" s="378" t="s">
        <v>1264</v>
      </c>
    </row>
    <row r="73" spans="1:15">
      <c r="A73" s="405" t="s">
        <v>116</v>
      </c>
      <c r="B73" s="405" t="s">
        <v>117</v>
      </c>
      <c r="C73" s="405" t="s">
        <v>117</v>
      </c>
      <c r="D73" s="405" t="s">
        <v>174</v>
      </c>
      <c r="E73" s="412"/>
      <c r="F73" s="409" t="s">
        <v>1140</v>
      </c>
      <c r="G73" s="377" t="s">
        <v>1264</v>
      </c>
      <c r="H73" s="398" t="s">
        <v>352</v>
      </c>
      <c r="I73" s="225">
        <v>2</v>
      </c>
      <c r="J73" s="225">
        <v>5</v>
      </c>
      <c r="K73" s="225"/>
      <c r="L73" s="225">
        <v>3</v>
      </c>
      <c r="M73" s="225">
        <v>2</v>
      </c>
      <c r="N73" s="400" t="s">
        <v>288</v>
      </c>
      <c r="O73" s="378" t="s">
        <v>1264</v>
      </c>
    </row>
    <row r="74" spans="1:15">
      <c r="A74" s="405" t="s">
        <v>118</v>
      </c>
      <c r="B74" s="405" t="s">
        <v>119</v>
      </c>
      <c r="C74" s="405" t="s">
        <v>119</v>
      </c>
      <c r="D74" s="405" t="s">
        <v>262</v>
      </c>
      <c r="E74" s="412"/>
      <c r="F74" s="409" t="s">
        <v>1140</v>
      </c>
      <c r="G74" s="377" t="s">
        <v>1264</v>
      </c>
      <c r="H74" s="398" t="s">
        <v>353</v>
      </c>
      <c r="I74" s="225">
        <v>20</v>
      </c>
      <c r="J74" s="225"/>
      <c r="K74" s="225"/>
      <c r="L74" s="225"/>
      <c r="M74" s="225" t="s">
        <v>362</v>
      </c>
      <c r="N74" s="400" t="s">
        <v>288</v>
      </c>
      <c r="O74" s="378" t="s">
        <v>1264</v>
      </c>
    </row>
    <row r="75" spans="1:15">
      <c r="A75" s="405" t="s">
        <v>120</v>
      </c>
      <c r="B75" s="405" t="s">
        <v>121</v>
      </c>
      <c r="C75" s="405" t="s">
        <v>121</v>
      </c>
      <c r="D75" s="405" t="s">
        <v>121</v>
      </c>
      <c r="E75" s="412"/>
      <c r="F75" s="409" t="s">
        <v>1140</v>
      </c>
      <c r="G75" s="377" t="s">
        <v>1264</v>
      </c>
      <c r="H75" s="398" t="s">
        <v>211</v>
      </c>
      <c r="I75" s="225">
        <v>40</v>
      </c>
      <c r="J75" s="225"/>
      <c r="K75" s="225"/>
      <c r="L75" s="225">
        <v>10</v>
      </c>
      <c r="M75" s="225">
        <v>5</v>
      </c>
      <c r="N75" s="400" t="s">
        <v>288</v>
      </c>
      <c r="O75" s="378" t="s">
        <v>1264</v>
      </c>
    </row>
    <row r="76" spans="1:15">
      <c r="A76" s="405" t="s">
        <v>122</v>
      </c>
      <c r="B76" s="405" t="s">
        <v>123</v>
      </c>
      <c r="C76" s="405" t="s">
        <v>123</v>
      </c>
      <c r="D76" s="405"/>
      <c r="E76" s="412"/>
      <c r="F76" s="409" t="s">
        <v>1140</v>
      </c>
      <c r="G76" s="377" t="s">
        <v>1264</v>
      </c>
      <c r="H76" s="398" t="s">
        <v>363</v>
      </c>
      <c r="I76" s="225">
        <v>70</v>
      </c>
      <c r="J76" s="225">
        <v>50</v>
      </c>
      <c r="K76" s="225"/>
      <c r="L76" s="225">
        <v>30</v>
      </c>
      <c r="M76" s="225">
        <v>5</v>
      </c>
      <c r="N76" s="400" t="s">
        <v>288</v>
      </c>
      <c r="O76" s="378" t="s">
        <v>1264</v>
      </c>
    </row>
    <row r="77" spans="1:15">
      <c r="A77" s="405" t="s">
        <v>124</v>
      </c>
      <c r="B77" s="405" t="s">
        <v>125</v>
      </c>
      <c r="C77" s="405" t="s">
        <v>125</v>
      </c>
      <c r="D77" s="405"/>
      <c r="E77" s="412"/>
      <c r="F77" s="409" t="s">
        <v>1140</v>
      </c>
      <c r="G77" s="377" t="s">
        <v>1264</v>
      </c>
      <c r="H77" s="398" t="s">
        <v>364</v>
      </c>
      <c r="I77" s="225" t="s">
        <v>365</v>
      </c>
      <c r="J77" s="225">
        <v>24</v>
      </c>
      <c r="K77" s="225"/>
      <c r="L77" s="225"/>
      <c r="M77" s="225">
        <v>5</v>
      </c>
      <c r="N77" s="400" t="s">
        <v>288</v>
      </c>
      <c r="O77" s="378" t="s">
        <v>1264</v>
      </c>
    </row>
    <row r="78" spans="1:15">
      <c r="A78" s="405" t="s">
        <v>126</v>
      </c>
      <c r="B78" s="405" t="s">
        <v>125</v>
      </c>
      <c r="C78" s="405" t="s">
        <v>125</v>
      </c>
      <c r="D78" s="405" t="s">
        <v>263</v>
      </c>
      <c r="E78" s="412"/>
      <c r="F78" s="409" t="s">
        <v>1140</v>
      </c>
      <c r="G78" s="377" t="s">
        <v>1264</v>
      </c>
      <c r="H78" s="398" t="s">
        <v>347</v>
      </c>
      <c r="I78" s="225" t="s">
        <v>366</v>
      </c>
      <c r="J78" s="225"/>
      <c r="K78" s="225"/>
      <c r="L78" s="225"/>
      <c r="M78" s="225" t="s">
        <v>362</v>
      </c>
      <c r="N78" s="400" t="s">
        <v>288</v>
      </c>
      <c r="O78" s="378" t="s">
        <v>1264</v>
      </c>
    </row>
    <row r="79" spans="1:15">
      <c r="A79" s="405" t="s">
        <v>127</v>
      </c>
      <c r="B79" s="405" t="s">
        <v>125</v>
      </c>
      <c r="C79" s="405" t="s">
        <v>125</v>
      </c>
      <c r="D79" s="405"/>
      <c r="E79" s="412"/>
      <c r="F79" s="409" t="s">
        <v>1140</v>
      </c>
      <c r="G79" s="377" t="s">
        <v>1264</v>
      </c>
      <c r="H79" s="417"/>
      <c r="I79" s="1777" t="s">
        <v>369</v>
      </c>
      <c r="J79" s="1778"/>
      <c r="K79" s="1778"/>
      <c r="L79" s="1778"/>
      <c r="M79" s="1778"/>
      <c r="N79" s="1779"/>
    </row>
    <row r="80" spans="1:15">
      <c r="A80" s="405" t="s">
        <v>128</v>
      </c>
      <c r="B80" s="405" t="s">
        <v>125</v>
      </c>
      <c r="C80" s="405" t="s">
        <v>125</v>
      </c>
      <c r="D80" s="405"/>
      <c r="E80" s="412"/>
      <c r="F80" s="409" t="s">
        <v>1140</v>
      </c>
      <c r="G80" s="377" t="s">
        <v>1264</v>
      </c>
      <c r="H80" s="398" t="s">
        <v>375</v>
      </c>
      <c r="I80" s="225">
        <v>20</v>
      </c>
      <c r="J80" s="225"/>
      <c r="K80" s="225"/>
      <c r="L80" s="225">
        <v>3</v>
      </c>
      <c r="M80" s="225">
        <v>0.1</v>
      </c>
      <c r="N80" s="400" t="s">
        <v>288</v>
      </c>
      <c r="O80" s="378" t="s">
        <v>1264</v>
      </c>
    </row>
    <row r="81" spans="1:15" ht="43.2">
      <c r="A81" s="405" t="s">
        <v>129</v>
      </c>
      <c r="B81" s="405" t="s">
        <v>130</v>
      </c>
      <c r="C81" s="406" t="s">
        <v>130</v>
      </c>
      <c r="D81" s="406" t="s">
        <v>264</v>
      </c>
      <c r="E81" s="412"/>
      <c r="F81" s="409" t="s">
        <v>1140</v>
      </c>
      <c r="G81" s="377" t="s">
        <v>1264</v>
      </c>
      <c r="H81" s="405" t="s">
        <v>372</v>
      </c>
      <c r="I81" s="225">
        <v>10</v>
      </c>
      <c r="J81" s="225">
        <v>11</v>
      </c>
      <c r="K81" s="225">
        <v>54.9</v>
      </c>
      <c r="L81" s="225"/>
      <c r="M81" s="225" t="s">
        <v>376</v>
      </c>
      <c r="N81" s="400" t="s">
        <v>288</v>
      </c>
      <c r="O81" s="378" t="s">
        <v>1264</v>
      </c>
    </row>
    <row r="82" spans="1:15">
      <c r="A82" s="405" t="s">
        <v>131</v>
      </c>
      <c r="B82" s="405" t="s">
        <v>132</v>
      </c>
      <c r="C82" s="406" t="s">
        <v>132</v>
      </c>
      <c r="D82" s="406" t="s">
        <v>146</v>
      </c>
      <c r="E82" s="412"/>
      <c r="F82" s="409" t="s">
        <v>1140</v>
      </c>
      <c r="G82" s="377" t="s">
        <v>1264</v>
      </c>
      <c r="H82" s="398" t="s">
        <v>371</v>
      </c>
      <c r="I82" s="225">
        <v>0.03</v>
      </c>
      <c r="J82" s="225"/>
      <c r="K82" s="225"/>
      <c r="L82" s="225">
        <v>1</v>
      </c>
      <c r="M82" s="225" t="s">
        <v>373</v>
      </c>
      <c r="N82" s="400" t="s">
        <v>288</v>
      </c>
      <c r="O82" s="378" t="s">
        <v>1264</v>
      </c>
    </row>
    <row r="83" spans="1:15">
      <c r="A83" s="405" t="s">
        <v>133</v>
      </c>
      <c r="B83" s="405" t="s">
        <v>134</v>
      </c>
      <c r="C83" s="406" t="s">
        <v>134</v>
      </c>
      <c r="D83" s="406"/>
      <c r="E83" s="412"/>
      <c r="F83" s="409" t="s">
        <v>1140</v>
      </c>
      <c r="G83" s="377" t="s">
        <v>1264</v>
      </c>
      <c r="H83" s="398" t="s">
        <v>118</v>
      </c>
      <c r="I83" s="225">
        <v>2</v>
      </c>
      <c r="J83" s="225">
        <v>5</v>
      </c>
      <c r="K83" s="225">
        <v>10</v>
      </c>
      <c r="L83" s="225"/>
      <c r="M83" s="225">
        <v>0.5</v>
      </c>
      <c r="N83" s="400" t="s">
        <v>288</v>
      </c>
      <c r="O83" s="378" t="s">
        <v>1264</v>
      </c>
    </row>
    <row r="84" spans="1:15">
      <c r="A84" s="405" t="s">
        <v>135</v>
      </c>
      <c r="B84" s="405" t="s">
        <v>125</v>
      </c>
      <c r="C84" s="406" t="s">
        <v>125</v>
      </c>
      <c r="D84" s="406"/>
      <c r="E84" s="412"/>
      <c r="F84" s="409" t="s">
        <v>1140</v>
      </c>
      <c r="G84" s="377" t="s">
        <v>1264</v>
      </c>
      <c r="H84" s="398" t="s">
        <v>381</v>
      </c>
      <c r="I84" s="225">
        <v>300</v>
      </c>
      <c r="J84" s="225"/>
      <c r="K84" s="225"/>
      <c r="L84" s="225">
        <v>400</v>
      </c>
      <c r="M84" s="225">
        <v>30</v>
      </c>
      <c r="N84" s="400" t="s">
        <v>288</v>
      </c>
      <c r="O84" s="378" t="s">
        <v>1264</v>
      </c>
    </row>
    <row r="85" spans="1:15">
      <c r="A85" s="405" t="s">
        <v>136</v>
      </c>
      <c r="B85" s="405" t="s">
        <v>137</v>
      </c>
      <c r="C85" s="406" t="s">
        <v>137</v>
      </c>
      <c r="D85" s="406" t="s">
        <v>265</v>
      </c>
      <c r="E85" s="412"/>
      <c r="F85" s="409" t="s">
        <v>1140</v>
      </c>
      <c r="G85" s="377" t="s">
        <v>1264</v>
      </c>
      <c r="H85" s="398" t="s">
        <v>377</v>
      </c>
      <c r="I85" s="225">
        <v>7</v>
      </c>
      <c r="J85" s="225">
        <v>45</v>
      </c>
      <c r="K85" s="225"/>
      <c r="L85" s="225">
        <v>30</v>
      </c>
      <c r="M85" s="225">
        <v>5</v>
      </c>
      <c r="N85" s="400" t="s">
        <v>288</v>
      </c>
      <c r="O85" s="378" t="s">
        <v>1264</v>
      </c>
    </row>
    <row r="86" spans="1:15">
      <c r="A86" s="405" t="s">
        <v>138</v>
      </c>
      <c r="B86" s="405" t="s">
        <v>134</v>
      </c>
      <c r="C86" s="405" t="s">
        <v>134</v>
      </c>
      <c r="D86" s="405" t="s">
        <v>267</v>
      </c>
      <c r="E86" s="412"/>
      <c r="F86" s="409" t="s">
        <v>1140</v>
      </c>
      <c r="G86" s="377" t="s">
        <v>1264</v>
      </c>
      <c r="H86" s="398" t="s">
        <v>374</v>
      </c>
      <c r="I86" s="400">
        <v>0.2</v>
      </c>
      <c r="J86" s="225"/>
      <c r="K86" s="225"/>
      <c r="L86" s="400">
        <v>6</v>
      </c>
      <c r="M86" s="225" t="s">
        <v>382</v>
      </c>
      <c r="N86" s="400" t="s">
        <v>288</v>
      </c>
      <c r="O86" s="378" t="s">
        <v>1264</v>
      </c>
    </row>
    <row r="87" spans="1:15">
      <c r="A87" s="405" t="s">
        <v>139</v>
      </c>
      <c r="B87" s="405" t="s">
        <v>125</v>
      </c>
      <c r="C87" s="405" t="s">
        <v>125</v>
      </c>
      <c r="D87" s="405"/>
      <c r="E87" s="412"/>
      <c r="F87" s="409" t="s">
        <v>1140</v>
      </c>
      <c r="G87" s="377" t="s">
        <v>1264</v>
      </c>
      <c r="H87" s="398" t="s">
        <v>378</v>
      </c>
      <c r="I87" s="225">
        <v>30</v>
      </c>
      <c r="J87" s="225">
        <v>170</v>
      </c>
      <c r="K87" s="225">
        <v>5.8</v>
      </c>
      <c r="L87" s="225"/>
      <c r="M87" s="225">
        <v>0.1</v>
      </c>
      <c r="N87" s="400" t="s">
        <v>288</v>
      </c>
      <c r="O87" s="378" t="s">
        <v>1264</v>
      </c>
    </row>
    <row r="88" spans="1:15">
      <c r="A88" s="405" t="s">
        <v>140</v>
      </c>
      <c r="B88" s="405" t="s">
        <v>141</v>
      </c>
      <c r="C88" s="405" t="s">
        <v>141</v>
      </c>
      <c r="D88" s="405" t="s">
        <v>141</v>
      </c>
      <c r="E88" s="412"/>
      <c r="F88" s="409" t="s">
        <v>1140</v>
      </c>
      <c r="G88" s="377" t="s">
        <v>1264</v>
      </c>
      <c r="H88" s="398" t="s">
        <v>379</v>
      </c>
      <c r="I88" s="225">
        <v>30</v>
      </c>
      <c r="J88" s="225">
        <v>24</v>
      </c>
      <c r="K88" s="225"/>
      <c r="L88" s="225">
        <v>2</v>
      </c>
      <c r="M88" s="225">
        <v>2</v>
      </c>
      <c r="N88" s="400" t="s">
        <v>288</v>
      </c>
      <c r="O88" s="378" t="s">
        <v>1264</v>
      </c>
    </row>
    <row r="89" spans="1:15">
      <c r="A89" s="405" t="s">
        <v>142</v>
      </c>
      <c r="B89" s="405" t="s">
        <v>143</v>
      </c>
      <c r="C89" s="405" t="s">
        <v>143</v>
      </c>
      <c r="D89" s="405" t="s">
        <v>228</v>
      </c>
      <c r="E89" s="412"/>
      <c r="F89" s="409" t="s">
        <v>1140</v>
      </c>
      <c r="G89" s="377" t="s">
        <v>1264</v>
      </c>
      <c r="H89" s="398" t="s">
        <v>380</v>
      </c>
      <c r="I89" s="225">
        <v>30</v>
      </c>
      <c r="J89" s="225"/>
      <c r="K89" s="225"/>
      <c r="L89" s="225">
        <v>100</v>
      </c>
      <c r="M89" s="225">
        <v>2</v>
      </c>
      <c r="N89" s="400" t="s">
        <v>288</v>
      </c>
      <c r="O89" s="378" t="s">
        <v>1264</v>
      </c>
    </row>
    <row r="90" spans="1:15">
      <c r="A90" s="405" t="s">
        <v>145</v>
      </c>
      <c r="B90" s="405" t="s">
        <v>146</v>
      </c>
      <c r="C90" s="405" t="s">
        <v>146</v>
      </c>
      <c r="D90" s="405"/>
      <c r="E90" s="412"/>
      <c r="F90" s="409" t="s">
        <v>1140</v>
      </c>
      <c r="G90" s="377" t="s">
        <v>1264</v>
      </c>
      <c r="H90" s="406" t="s">
        <v>383</v>
      </c>
      <c r="I90" s="400">
        <v>2</v>
      </c>
      <c r="J90" s="225"/>
      <c r="K90" s="225"/>
      <c r="L90" s="400">
        <v>3</v>
      </c>
      <c r="M90" s="225" t="s">
        <v>382</v>
      </c>
      <c r="N90" s="400" t="s">
        <v>288</v>
      </c>
      <c r="O90" s="378" t="s">
        <v>1264</v>
      </c>
    </row>
    <row r="91" spans="1:15">
      <c r="A91" s="405" t="s">
        <v>147</v>
      </c>
      <c r="B91" s="405" t="s">
        <v>148</v>
      </c>
      <c r="C91" s="405" t="s">
        <v>148</v>
      </c>
      <c r="D91" s="405"/>
      <c r="E91" s="412"/>
      <c r="F91" s="409" t="s">
        <v>1140</v>
      </c>
      <c r="G91" s="377" t="s">
        <v>1264</v>
      </c>
      <c r="H91" s="418" t="s">
        <v>384</v>
      </c>
      <c r="I91" s="225"/>
      <c r="J91" s="225"/>
      <c r="K91" s="225"/>
      <c r="L91" s="225"/>
      <c r="M91" s="225"/>
      <c r="N91" s="400" t="s">
        <v>288</v>
      </c>
      <c r="O91" s="378" t="s">
        <v>1264</v>
      </c>
    </row>
    <row r="92" spans="1:15" ht="28.8">
      <c r="A92" s="405" t="s">
        <v>149</v>
      </c>
      <c r="B92" s="405" t="s">
        <v>150</v>
      </c>
      <c r="C92" s="405" t="s">
        <v>150</v>
      </c>
      <c r="D92" s="405" t="s">
        <v>266</v>
      </c>
      <c r="E92" s="412"/>
      <c r="F92" s="409" t="s">
        <v>1140</v>
      </c>
      <c r="G92" s="377" t="s">
        <v>1264</v>
      </c>
      <c r="H92" s="405" t="s">
        <v>385</v>
      </c>
      <c r="I92" s="225"/>
      <c r="J92" s="225"/>
      <c r="K92" s="225">
        <v>40</v>
      </c>
      <c r="L92" s="225" t="s">
        <v>386</v>
      </c>
      <c r="M92" s="225"/>
      <c r="N92" s="400" t="s">
        <v>288</v>
      </c>
      <c r="O92" s="378" t="s">
        <v>1264</v>
      </c>
    </row>
    <row r="93" spans="1:15">
      <c r="A93" s="405" t="s">
        <v>151</v>
      </c>
      <c r="B93" s="405" t="s">
        <v>152</v>
      </c>
      <c r="C93" s="405" t="s">
        <v>152</v>
      </c>
      <c r="D93" s="405" t="s">
        <v>123</v>
      </c>
      <c r="E93" s="412"/>
      <c r="F93" s="409" t="s">
        <v>1140</v>
      </c>
      <c r="G93" s="377" t="s">
        <v>1264</v>
      </c>
      <c r="H93" s="418" t="s">
        <v>387</v>
      </c>
      <c r="I93" s="400">
        <v>0.06</v>
      </c>
      <c r="J93" s="225"/>
      <c r="K93" s="225"/>
      <c r="L93" s="400">
        <v>1</v>
      </c>
      <c r="M93" s="225">
        <v>0.01</v>
      </c>
      <c r="N93" s="400" t="s">
        <v>288</v>
      </c>
      <c r="O93" s="378" t="s">
        <v>1264</v>
      </c>
    </row>
    <row r="94" spans="1:15" ht="43.2">
      <c r="A94" s="405" t="s">
        <v>498</v>
      </c>
      <c r="B94" s="405" t="s">
        <v>153</v>
      </c>
      <c r="C94" s="405" t="s">
        <v>153</v>
      </c>
      <c r="D94" s="405" t="s">
        <v>268</v>
      </c>
      <c r="E94" s="412"/>
      <c r="F94" s="409" t="s">
        <v>1140</v>
      </c>
      <c r="G94" s="377" t="s">
        <v>1264</v>
      </c>
      <c r="H94" s="405" t="s">
        <v>388</v>
      </c>
      <c r="I94" s="225">
        <v>500</v>
      </c>
      <c r="J94" s="225">
        <v>280</v>
      </c>
      <c r="K94" s="403" t="s">
        <v>389</v>
      </c>
      <c r="L94" s="400">
        <v>200</v>
      </c>
      <c r="M94" s="400">
        <v>30</v>
      </c>
      <c r="N94" s="400" t="s">
        <v>288</v>
      </c>
      <c r="O94" s="378" t="s">
        <v>1264</v>
      </c>
    </row>
    <row r="95" spans="1:15" ht="28.8">
      <c r="A95" s="405" t="s">
        <v>154</v>
      </c>
      <c r="B95" s="405" t="s">
        <v>155</v>
      </c>
      <c r="C95" s="405" t="s">
        <v>155</v>
      </c>
      <c r="D95" s="405" t="s">
        <v>195</v>
      </c>
      <c r="E95" s="412"/>
      <c r="F95" s="409" t="s">
        <v>1140</v>
      </c>
      <c r="G95" s="377" t="s">
        <v>1264</v>
      </c>
      <c r="H95" s="405" t="s">
        <v>390</v>
      </c>
      <c r="I95" s="225"/>
      <c r="J95" s="225"/>
      <c r="K95" s="225"/>
      <c r="L95" s="225"/>
      <c r="M95" s="225"/>
      <c r="N95" s="400" t="s">
        <v>288</v>
      </c>
      <c r="O95" s="378" t="s">
        <v>1264</v>
      </c>
    </row>
    <row r="96" spans="1:15" ht="28.8">
      <c r="A96" s="405" t="s">
        <v>156</v>
      </c>
      <c r="B96" s="405" t="s">
        <v>148</v>
      </c>
      <c r="C96" s="405" t="s">
        <v>148</v>
      </c>
      <c r="D96" s="405"/>
      <c r="E96" s="412"/>
      <c r="F96" s="409" t="s">
        <v>1141</v>
      </c>
      <c r="G96" s="377" t="s">
        <v>1264</v>
      </c>
      <c r="H96" s="405" t="s">
        <v>391</v>
      </c>
      <c r="I96" s="225"/>
      <c r="J96" s="225"/>
      <c r="K96" s="225">
        <v>3</v>
      </c>
      <c r="L96" s="403" t="s">
        <v>382</v>
      </c>
      <c r="M96" s="225"/>
      <c r="N96" s="400" t="s">
        <v>288</v>
      </c>
      <c r="O96" s="378" t="s">
        <v>1264</v>
      </c>
    </row>
    <row r="97" spans="1:15">
      <c r="A97" s="405" t="s">
        <v>157</v>
      </c>
      <c r="B97" s="405" t="s">
        <v>158</v>
      </c>
      <c r="C97" s="405" t="s">
        <v>158</v>
      </c>
      <c r="D97" s="405"/>
      <c r="E97" s="412"/>
      <c r="F97" s="409" t="s">
        <v>1140</v>
      </c>
      <c r="G97" s="377" t="s">
        <v>1264</v>
      </c>
      <c r="H97" s="405" t="s">
        <v>392</v>
      </c>
      <c r="I97" s="225">
        <v>1</v>
      </c>
      <c r="J97" s="225">
        <v>0.52</v>
      </c>
      <c r="K97" s="225"/>
      <c r="L97" s="225"/>
      <c r="M97" s="225">
        <v>0.01</v>
      </c>
      <c r="N97" s="400" t="s">
        <v>288</v>
      </c>
      <c r="O97" s="378" t="s">
        <v>1264</v>
      </c>
    </row>
    <row r="98" spans="1:15" ht="28.8">
      <c r="A98" s="405" t="s">
        <v>159</v>
      </c>
      <c r="B98" s="405" t="s">
        <v>160</v>
      </c>
      <c r="C98" s="405" t="s">
        <v>160</v>
      </c>
      <c r="D98" s="405" t="s">
        <v>269</v>
      </c>
      <c r="E98" s="405" t="s">
        <v>278</v>
      </c>
      <c r="F98" s="409" t="s">
        <v>1214</v>
      </c>
      <c r="G98" s="377" t="s">
        <v>1264</v>
      </c>
      <c r="H98" s="405" t="s">
        <v>393</v>
      </c>
      <c r="I98" s="225">
        <v>2</v>
      </c>
      <c r="J98" s="225">
        <v>4</v>
      </c>
      <c r="K98" s="225"/>
      <c r="L98" s="225">
        <v>10</v>
      </c>
      <c r="M98" s="400">
        <v>0.01</v>
      </c>
      <c r="N98" s="400" t="s">
        <v>288</v>
      </c>
      <c r="O98" s="378" t="s">
        <v>1264</v>
      </c>
    </row>
    <row r="99" spans="1:15">
      <c r="A99" s="405" t="s">
        <v>163</v>
      </c>
      <c r="B99" s="405" t="s">
        <v>164</v>
      </c>
      <c r="C99" s="405" t="s">
        <v>164</v>
      </c>
      <c r="D99" s="405" t="s">
        <v>270</v>
      </c>
      <c r="E99" s="412"/>
      <c r="F99" s="409" t="s">
        <v>1140</v>
      </c>
      <c r="G99" s="377" t="s">
        <v>1264</v>
      </c>
      <c r="H99" s="398" t="s">
        <v>395</v>
      </c>
      <c r="I99" s="225">
        <v>190</v>
      </c>
      <c r="J99" s="225"/>
      <c r="K99" s="225"/>
      <c r="L99" s="225"/>
      <c r="M99" s="225">
        <v>2</v>
      </c>
      <c r="N99" s="400" t="s">
        <v>288</v>
      </c>
      <c r="O99" s="378" t="s">
        <v>1264</v>
      </c>
    </row>
    <row r="100" spans="1:15">
      <c r="A100" s="405" t="s">
        <v>165</v>
      </c>
      <c r="B100" s="405" t="s">
        <v>117</v>
      </c>
      <c r="C100" s="405" t="s">
        <v>117</v>
      </c>
      <c r="D100" s="405" t="s">
        <v>117</v>
      </c>
      <c r="E100" s="412"/>
      <c r="F100" s="409" t="s">
        <v>1140</v>
      </c>
      <c r="G100" s="377" t="s">
        <v>1264</v>
      </c>
      <c r="H100" s="398" t="s">
        <v>396</v>
      </c>
      <c r="I100" s="225">
        <v>10</v>
      </c>
      <c r="J100" s="225">
        <v>50</v>
      </c>
      <c r="K100" s="225">
        <v>28</v>
      </c>
      <c r="L100" s="225">
        <v>800</v>
      </c>
      <c r="M100" s="225">
        <v>0.1</v>
      </c>
      <c r="N100" s="400" t="s">
        <v>288</v>
      </c>
      <c r="O100" s="378" t="s">
        <v>1264</v>
      </c>
    </row>
    <row r="101" spans="1:15">
      <c r="A101" s="405" t="s">
        <v>166</v>
      </c>
      <c r="B101" s="405" t="s">
        <v>167</v>
      </c>
      <c r="C101" s="405" t="s">
        <v>167</v>
      </c>
      <c r="D101" s="405" t="s">
        <v>174</v>
      </c>
      <c r="E101" s="412"/>
      <c r="F101" s="409" t="s">
        <v>1140</v>
      </c>
      <c r="G101" s="377" t="s">
        <v>1264</v>
      </c>
      <c r="H101" s="398" t="s">
        <v>397</v>
      </c>
      <c r="I101" s="225">
        <v>20</v>
      </c>
      <c r="J101" s="225"/>
      <c r="K101" s="225"/>
      <c r="L101" s="225"/>
      <c r="M101" s="225">
        <v>0.1</v>
      </c>
      <c r="N101" s="400" t="s">
        <v>288</v>
      </c>
      <c r="O101" s="378" t="s">
        <v>1264</v>
      </c>
    </row>
    <row r="102" spans="1:15">
      <c r="A102" s="405" t="s">
        <v>168</v>
      </c>
      <c r="B102" s="405" t="s">
        <v>169</v>
      </c>
      <c r="C102" s="405" t="s">
        <v>169</v>
      </c>
      <c r="D102" s="405"/>
      <c r="E102" s="412"/>
      <c r="F102" s="409" t="s">
        <v>1140</v>
      </c>
      <c r="G102" s="377" t="s">
        <v>1264</v>
      </c>
      <c r="H102" s="398" t="s">
        <v>404</v>
      </c>
      <c r="I102" s="400">
        <v>6</v>
      </c>
      <c r="J102" s="225"/>
      <c r="K102" s="225"/>
      <c r="L102" s="225">
        <v>1</v>
      </c>
      <c r="M102" s="400">
        <v>5</v>
      </c>
      <c r="N102" s="400" t="s">
        <v>288</v>
      </c>
      <c r="O102" s="378" t="s">
        <v>1264</v>
      </c>
    </row>
    <row r="103" spans="1:15">
      <c r="A103" s="405" t="s">
        <v>170</v>
      </c>
      <c r="B103" s="405" t="s">
        <v>125</v>
      </c>
      <c r="C103" s="405" t="s">
        <v>125</v>
      </c>
      <c r="D103" s="405"/>
      <c r="E103" s="412"/>
      <c r="F103" s="409" t="s">
        <v>1140</v>
      </c>
      <c r="G103" s="377" t="s">
        <v>1264</v>
      </c>
      <c r="H103" s="398" t="s">
        <v>398</v>
      </c>
      <c r="I103" s="225">
        <v>20</v>
      </c>
      <c r="J103" s="225"/>
      <c r="K103" s="225"/>
      <c r="L103" s="225">
        <v>600</v>
      </c>
      <c r="M103" s="225">
        <v>0.1</v>
      </c>
      <c r="N103" s="400" t="s">
        <v>288</v>
      </c>
      <c r="O103" s="378" t="s">
        <v>1264</v>
      </c>
    </row>
    <row r="104" spans="1:15">
      <c r="A104" s="405" t="s">
        <v>199</v>
      </c>
      <c r="B104" s="405" t="s">
        <v>130</v>
      </c>
      <c r="C104" s="405" t="s">
        <v>130</v>
      </c>
      <c r="D104" s="405" t="s">
        <v>180</v>
      </c>
      <c r="E104" s="412"/>
      <c r="F104" s="409" t="s">
        <v>1140</v>
      </c>
      <c r="G104" s="377" t="s">
        <v>1264</v>
      </c>
      <c r="H104" s="398" t="s">
        <v>399</v>
      </c>
      <c r="I104" s="225">
        <v>9</v>
      </c>
      <c r="J104" s="225"/>
      <c r="K104" s="225"/>
      <c r="L104" s="225">
        <v>10</v>
      </c>
      <c r="M104" s="225">
        <v>2</v>
      </c>
      <c r="N104" s="400" t="s">
        <v>288</v>
      </c>
      <c r="O104" s="378" t="s">
        <v>1264</v>
      </c>
    </row>
    <row r="105" spans="1:15">
      <c r="A105" s="405" t="s">
        <v>171</v>
      </c>
      <c r="B105" s="405" t="s">
        <v>134</v>
      </c>
      <c r="C105" s="405" t="s">
        <v>134</v>
      </c>
      <c r="D105" s="405" t="s">
        <v>271</v>
      </c>
      <c r="E105" s="412"/>
      <c r="F105" s="409" t="s">
        <v>1140</v>
      </c>
      <c r="G105" s="377" t="s">
        <v>1264</v>
      </c>
      <c r="H105" s="398" t="s">
        <v>400</v>
      </c>
      <c r="I105" s="225">
        <v>20</v>
      </c>
      <c r="J105" s="225"/>
      <c r="K105" s="225"/>
      <c r="L105" s="225">
        <v>300</v>
      </c>
      <c r="M105" s="225">
        <v>10</v>
      </c>
      <c r="N105" s="400" t="s">
        <v>288</v>
      </c>
      <c r="O105" s="378" t="s">
        <v>1264</v>
      </c>
    </row>
    <row r="106" spans="1:15">
      <c r="A106" s="405" t="s">
        <v>172</v>
      </c>
      <c r="B106" s="405" t="s">
        <v>38</v>
      </c>
      <c r="C106" s="405" t="s">
        <v>38</v>
      </c>
      <c r="D106" s="405"/>
      <c r="E106" s="412"/>
      <c r="F106" s="409" t="s">
        <v>1140</v>
      </c>
      <c r="G106" s="377" t="s">
        <v>1264</v>
      </c>
      <c r="H106" s="398" t="s">
        <v>401</v>
      </c>
      <c r="I106" s="225">
        <v>20</v>
      </c>
      <c r="J106" s="225"/>
      <c r="K106" s="225"/>
      <c r="L106" s="399">
        <v>1000</v>
      </c>
      <c r="M106" s="225">
        <v>10</v>
      </c>
      <c r="N106" s="400" t="s">
        <v>288</v>
      </c>
      <c r="O106" s="378" t="s">
        <v>1264</v>
      </c>
    </row>
    <row r="107" spans="1:15">
      <c r="A107" s="405" t="s">
        <v>173</v>
      </c>
      <c r="B107" s="405" t="s">
        <v>174</v>
      </c>
      <c r="C107" s="405" t="s">
        <v>174</v>
      </c>
      <c r="D107" s="405" t="s">
        <v>272</v>
      </c>
      <c r="E107" s="412"/>
      <c r="F107" s="409" t="s">
        <v>1140</v>
      </c>
      <c r="G107" s="377" t="s">
        <v>1264</v>
      </c>
      <c r="H107" s="398" t="s">
        <v>402</v>
      </c>
      <c r="I107" s="225">
        <v>2</v>
      </c>
      <c r="J107" s="225">
        <v>10</v>
      </c>
      <c r="K107" s="225">
        <v>0.5</v>
      </c>
      <c r="L107" s="225"/>
      <c r="M107" s="225">
        <v>1</v>
      </c>
      <c r="N107" s="400" t="s">
        <v>288</v>
      </c>
      <c r="O107" s="378" t="s">
        <v>1264</v>
      </c>
    </row>
    <row r="108" spans="1:15">
      <c r="A108" s="405" t="s">
        <v>175</v>
      </c>
      <c r="B108" s="405" t="s">
        <v>132</v>
      </c>
      <c r="C108" s="405" t="s">
        <v>132</v>
      </c>
      <c r="D108" s="405" t="s">
        <v>273</v>
      </c>
      <c r="E108" s="412"/>
      <c r="F108" s="409" t="s">
        <v>1140</v>
      </c>
      <c r="G108" s="377" t="s">
        <v>1264</v>
      </c>
      <c r="H108" s="398" t="s">
        <v>403</v>
      </c>
      <c r="I108" s="225">
        <v>20</v>
      </c>
      <c r="J108" s="225">
        <v>45</v>
      </c>
      <c r="K108" s="225"/>
      <c r="L108" s="225">
        <v>500</v>
      </c>
      <c r="M108" s="225">
        <v>0.1</v>
      </c>
      <c r="N108" s="400" t="s">
        <v>288</v>
      </c>
      <c r="O108" s="378" t="s">
        <v>1264</v>
      </c>
    </row>
    <row r="109" spans="1:15">
      <c r="A109" s="405" t="s">
        <v>176</v>
      </c>
      <c r="B109" s="405" t="s">
        <v>123</v>
      </c>
      <c r="C109" s="405" t="s">
        <v>123</v>
      </c>
      <c r="D109" s="405" t="s">
        <v>123</v>
      </c>
      <c r="E109" s="412"/>
      <c r="F109" s="409" t="s">
        <v>1140</v>
      </c>
      <c r="G109" s="377" t="s">
        <v>1264</v>
      </c>
      <c r="H109" s="411"/>
      <c r="I109" s="1774" t="s">
        <v>394</v>
      </c>
      <c r="J109" s="1775"/>
      <c r="K109" s="1775"/>
      <c r="L109" s="1775"/>
      <c r="M109" s="1775"/>
      <c r="N109" s="1776"/>
    </row>
    <row r="110" spans="1:15" ht="28.8">
      <c r="A110" s="405" t="s">
        <v>177</v>
      </c>
      <c r="B110" s="405" t="s">
        <v>178</v>
      </c>
      <c r="C110" s="405" t="s">
        <v>178</v>
      </c>
      <c r="D110" s="405" t="s">
        <v>178</v>
      </c>
      <c r="E110" s="412"/>
      <c r="F110" s="409" t="s">
        <v>1141</v>
      </c>
      <c r="G110" s="377" t="s">
        <v>1264</v>
      </c>
      <c r="H110" s="418" t="s">
        <v>405</v>
      </c>
      <c r="I110" s="403" t="s">
        <v>407</v>
      </c>
      <c r="J110" s="225" t="s">
        <v>406</v>
      </c>
      <c r="K110" s="225"/>
      <c r="L110" s="225" t="s">
        <v>408</v>
      </c>
      <c r="M110" s="225"/>
      <c r="N110" s="400" t="s">
        <v>1128</v>
      </c>
      <c r="O110" s="378" t="s">
        <v>1264</v>
      </c>
    </row>
    <row r="111" spans="1:15">
      <c r="A111" s="405" t="s">
        <v>144</v>
      </c>
      <c r="B111" s="405"/>
      <c r="C111" s="405"/>
      <c r="D111" s="405"/>
      <c r="E111" s="412"/>
      <c r="F111" s="409"/>
      <c r="G111" s="377" t="s">
        <v>1264</v>
      </c>
      <c r="H111" s="418" t="s">
        <v>409</v>
      </c>
      <c r="I111" s="403"/>
      <c r="J111" s="225"/>
      <c r="K111" s="225"/>
      <c r="L111" s="225" t="s">
        <v>410</v>
      </c>
      <c r="M111" s="225"/>
      <c r="N111" s="400" t="s">
        <v>1128</v>
      </c>
      <c r="O111" s="378" t="s">
        <v>1264</v>
      </c>
    </row>
    <row r="112" spans="1:15" ht="28.8">
      <c r="A112" s="405" t="s">
        <v>161</v>
      </c>
      <c r="B112" s="405" t="s">
        <v>162</v>
      </c>
      <c r="C112" s="405" t="s">
        <v>162</v>
      </c>
      <c r="D112" s="405" t="s">
        <v>162</v>
      </c>
      <c r="E112" s="412"/>
      <c r="F112" s="409" t="s">
        <v>1215</v>
      </c>
      <c r="G112" s="377" t="s">
        <v>1264</v>
      </c>
      <c r="H112" s="418" t="s">
        <v>33</v>
      </c>
      <c r="I112" s="403" t="s">
        <v>407</v>
      </c>
      <c r="J112" s="225" t="s">
        <v>406</v>
      </c>
      <c r="K112" s="225"/>
      <c r="L112" s="225" t="s">
        <v>411</v>
      </c>
      <c r="M112" s="225"/>
      <c r="N112" s="400" t="s">
        <v>1128</v>
      </c>
      <c r="O112" s="378" t="s">
        <v>1264</v>
      </c>
    </row>
    <row r="113" spans="1:14">
      <c r="A113" s="405" t="s">
        <v>179</v>
      </c>
      <c r="B113" s="405" t="s">
        <v>180</v>
      </c>
      <c r="C113" s="405" t="s">
        <v>180</v>
      </c>
      <c r="D113" s="405" t="s">
        <v>180</v>
      </c>
      <c r="E113" s="412"/>
      <c r="F113" s="409" t="s">
        <v>1140</v>
      </c>
      <c r="G113" s="377" t="s">
        <v>1264</v>
      </c>
      <c r="H113" s="419"/>
      <c r="I113" s="420"/>
      <c r="J113" s="420"/>
      <c r="K113" s="420"/>
      <c r="L113" s="420"/>
      <c r="M113" s="420"/>
      <c r="N113" s="402"/>
    </row>
    <row r="114" spans="1:14">
      <c r="A114" s="405" t="s">
        <v>181</v>
      </c>
      <c r="B114" s="405" t="s">
        <v>182</v>
      </c>
      <c r="C114" s="405" t="s">
        <v>182</v>
      </c>
      <c r="D114" s="405" t="s">
        <v>143</v>
      </c>
      <c r="E114" s="412"/>
      <c r="F114" s="409" t="s">
        <v>1141</v>
      </c>
      <c r="G114" s="377" t="s">
        <v>1264</v>
      </c>
      <c r="I114" s="420"/>
      <c r="J114" s="420"/>
      <c r="K114" s="420"/>
      <c r="L114" s="420"/>
      <c r="M114" s="420"/>
      <c r="N114" s="402"/>
    </row>
    <row r="115" spans="1:14">
      <c r="A115" s="405" t="s">
        <v>183</v>
      </c>
      <c r="B115" s="405" t="s">
        <v>141</v>
      </c>
      <c r="C115" s="405" t="s">
        <v>141</v>
      </c>
      <c r="D115" s="405" t="s">
        <v>141</v>
      </c>
      <c r="E115" s="412"/>
      <c r="F115" s="409" t="s">
        <v>1141</v>
      </c>
      <c r="G115" s="377" t="s">
        <v>1264</v>
      </c>
      <c r="I115" s="212"/>
      <c r="J115" s="212"/>
      <c r="K115" s="212"/>
      <c r="L115" s="212"/>
      <c r="M115" s="212"/>
      <c r="N115" s="402"/>
    </row>
    <row r="116" spans="1:14">
      <c r="A116" s="405" t="s">
        <v>184</v>
      </c>
      <c r="B116" s="405" t="s">
        <v>180</v>
      </c>
      <c r="C116" s="405" t="s">
        <v>180</v>
      </c>
      <c r="D116" s="405"/>
      <c r="E116" s="412"/>
      <c r="F116" s="409" t="s">
        <v>1140</v>
      </c>
      <c r="G116" s="377" t="s">
        <v>1264</v>
      </c>
      <c r="I116" s="212"/>
      <c r="J116" s="212"/>
      <c r="K116" s="212"/>
      <c r="L116" s="212"/>
      <c r="M116" s="212"/>
      <c r="N116" s="402"/>
    </row>
    <row r="117" spans="1:14">
      <c r="A117" s="405" t="s">
        <v>185</v>
      </c>
      <c r="B117" s="405" t="s">
        <v>167</v>
      </c>
      <c r="C117" s="405" t="s">
        <v>167</v>
      </c>
      <c r="D117" s="405" t="s">
        <v>274</v>
      </c>
      <c r="E117" s="412"/>
      <c r="F117" s="409" t="s">
        <v>1140</v>
      </c>
      <c r="G117" s="377" t="s">
        <v>1264</v>
      </c>
      <c r="I117" s="212"/>
      <c r="J117" s="212"/>
      <c r="K117" s="212"/>
      <c r="L117" s="212"/>
      <c r="M117" s="212"/>
      <c r="N117" s="402"/>
    </row>
    <row r="118" spans="1:14">
      <c r="A118" s="405" t="s">
        <v>186</v>
      </c>
      <c r="B118" s="405" t="s">
        <v>187</v>
      </c>
      <c r="C118" s="405" t="s">
        <v>187</v>
      </c>
      <c r="D118" s="405" t="s">
        <v>187</v>
      </c>
      <c r="E118" s="412"/>
      <c r="F118" s="409" t="s">
        <v>1140</v>
      </c>
      <c r="G118" s="377" t="s">
        <v>1264</v>
      </c>
      <c r="I118" s="212"/>
      <c r="J118" s="212"/>
      <c r="K118" s="212"/>
      <c r="L118" s="212"/>
      <c r="M118" s="212"/>
      <c r="N118" s="402"/>
    </row>
    <row r="119" spans="1:14">
      <c r="A119" s="405" t="s">
        <v>188</v>
      </c>
      <c r="B119" s="405" t="s">
        <v>189</v>
      </c>
      <c r="C119" s="405" t="s">
        <v>189</v>
      </c>
      <c r="D119" s="405" t="s">
        <v>275</v>
      </c>
      <c r="E119" s="412"/>
      <c r="F119" s="409" t="s">
        <v>1216</v>
      </c>
      <c r="G119" s="377" t="s">
        <v>1264</v>
      </c>
      <c r="I119" s="212"/>
      <c r="J119" s="212"/>
      <c r="K119" s="212"/>
      <c r="L119" s="212"/>
      <c r="M119" s="212"/>
      <c r="N119" s="402"/>
    </row>
    <row r="120" spans="1:14">
      <c r="A120" s="405" t="s">
        <v>190</v>
      </c>
      <c r="B120" s="405" t="s">
        <v>148</v>
      </c>
      <c r="C120" s="405" t="s">
        <v>148</v>
      </c>
      <c r="D120" s="405"/>
      <c r="E120" s="412"/>
      <c r="F120" s="409" t="s">
        <v>1141</v>
      </c>
      <c r="G120" s="377" t="s">
        <v>1264</v>
      </c>
      <c r="I120" s="212"/>
      <c r="J120" s="212"/>
      <c r="K120" s="212"/>
      <c r="L120" s="212"/>
      <c r="M120" s="212"/>
      <c r="N120" s="402"/>
    </row>
    <row r="121" spans="1:14">
      <c r="A121" s="405" t="s">
        <v>191</v>
      </c>
      <c r="B121" s="405" t="s">
        <v>192</v>
      </c>
      <c r="C121" s="405" t="s">
        <v>192</v>
      </c>
      <c r="D121" s="405" t="s">
        <v>192</v>
      </c>
      <c r="E121" s="412"/>
      <c r="F121" s="409" t="s">
        <v>1141</v>
      </c>
      <c r="G121" s="377" t="s">
        <v>1264</v>
      </c>
      <c r="I121" s="212"/>
      <c r="J121" s="212"/>
      <c r="K121" s="212"/>
      <c r="L121" s="212"/>
      <c r="M121" s="212"/>
      <c r="N121" s="402"/>
    </row>
    <row r="122" spans="1:14">
      <c r="A122" s="405" t="s">
        <v>193</v>
      </c>
      <c r="B122" s="405" t="s">
        <v>141</v>
      </c>
      <c r="C122" s="405" t="s">
        <v>141</v>
      </c>
      <c r="D122" s="405" t="s">
        <v>141</v>
      </c>
      <c r="E122" s="412"/>
      <c r="F122" s="409" t="s">
        <v>1141</v>
      </c>
      <c r="G122" s="377" t="s">
        <v>1264</v>
      </c>
      <c r="I122" s="212"/>
      <c r="J122" s="212"/>
      <c r="K122" s="212"/>
      <c r="L122" s="212"/>
      <c r="M122" s="212"/>
      <c r="N122" s="402"/>
    </row>
    <row r="123" spans="1:14">
      <c r="A123" s="405" t="s">
        <v>194</v>
      </c>
      <c r="B123" s="405" t="s">
        <v>195</v>
      </c>
      <c r="C123" s="405" t="s">
        <v>195</v>
      </c>
      <c r="D123" s="405"/>
      <c r="E123" s="412"/>
      <c r="F123" s="409" t="s">
        <v>1140</v>
      </c>
      <c r="G123" s="377" t="s">
        <v>1264</v>
      </c>
      <c r="I123" s="212"/>
      <c r="J123" s="212"/>
      <c r="K123" s="212"/>
      <c r="L123" s="212"/>
      <c r="M123" s="212"/>
      <c r="N123" s="402"/>
    </row>
    <row r="124" spans="1:14">
      <c r="A124" s="421" t="s">
        <v>196</v>
      </c>
      <c r="B124" s="405" t="s">
        <v>197</v>
      </c>
      <c r="C124" s="405" t="s">
        <v>197</v>
      </c>
      <c r="D124" s="405"/>
      <c r="E124" s="412"/>
      <c r="F124" s="409" t="s">
        <v>1140</v>
      </c>
      <c r="G124" s="377" t="s">
        <v>1264</v>
      </c>
    </row>
    <row r="125" spans="1:14">
      <c r="A125" s="422"/>
      <c r="B125" s="1783" t="s">
        <v>198</v>
      </c>
      <c r="C125" s="1783"/>
      <c r="D125" s="1783"/>
      <c r="E125" s="1783"/>
      <c r="F125" s="1783"/>
      <c r="G125" s="423"/>
    </row>
    <row r="126" spans="1:14">
      <c r="A126" s="424"/>
      <c r="B126" s="1780" t="s">
        <v>110</v>
      </c>
      <c r="C126" s="1781"/>
      <c r="D126" s="1781"/>
      <c r="E126" s="1781"/>
      <c r="F126" s="1782"/>
    </row>
    <row r="127" spans="1:14">
      <c r="A127" s="425" t="s">
        <v>48</v>
      </c>
      <c r="B127" s="405" t="s">
        <v>200</v>
      </c>
      <c r="C127" s="405" t="s">
        <v>200</v>
      </c>
      <c r="D127" s="405"/>
      <c r="E127" s="412"/>
      <c r="F127" s="409" t="s">
        <v>1217</v>
      </c>
      <c r="G127" s="377" t="s">
        <v>1264</v>
      </c>
    </row>
    <row r="128" spans="1:14">
      <c r="A128" s="416"/>
      <c r="B128" s="1780" t="s">
        <v>111</v>
      </c>
      <c r="C128" s="1781"/>
      <c r="D128" s="1781"/>
      <c r="E128" s="1781"/>
      <c r="F128" s="1782"/>
    </row>
    <row r="129" spans="1:7">
      <c r="A129" s="405" t="s">
        <v>122</v>
      </c>
      <c r="B129" s="398" t="s">
        <v>201</v>
      </c>
      <c r="C129" s="398" t="s">
        <v>201</v>
      </c>
      <c r="D129" s="405"/>
      <c r="E129" s="412"/>
      <c r="F129" s="409" t="s">
        <v>1140</v>
      </c>
      <c r="G129" s="377" t="s">
        <v>1264</v>
      </c>
    </row>
    <row r="130" spans="1:7">
      <c r="A130" s="405" t="s">
        <v>124</v>
      </c>
      <c r="B130" s="398" t="s">
        <v>202</v>
      </c>
      <c r="C130" s="398" t="s">
        <v>202</v>
      </c>
      <c r="D130" s="405"/>
      <c r="E130" s="412"/>
      <c r="F130" s="409" t="s">
        <v>1140</v>
      </c>
      <c r="G130" s="377" t="s">
        <v>1264</v>
      </c>
    </row>
    <row r="131" spans="1:7">
      <c r="A131" s="405" t="s">
        <v>126</v>
      </c>
      <c r="B131" s="398" t="s">
        <v>202</v>
      </c>
      <c r="C131" s="398" t="s">
        <v>202</v>
      </c>
      <c r="D131" s="405"/>
      <c r="E131" s="412"/>
      <c r="F131" s="409" t="s">
        <v>1140</v>
      </c>
      <c r="G131" s="377" t="s">
        <v>1264</v>
      </c>
    </row>
    <row r="132" spans="1:7">
      <c r="A132" s="405" t="s">
        <v>127</v>
      </c>
      <c r="B132" s="398" t="s">
        <v>202</v>
      </c>
      <c r="C132" s="398" t="s">
        <v>202</v>
      </c>
      <c r="D132" s="405"/>
      <c r="E132" s="412"/>
      <c r="F132" s="409" t="s">
        <v>1140</v>
      </c>
      <c r="G132" s="377" t="s">
        <v>1264</v>
      </c>
    </row>
    <row r="133" spans="1:7">
      <c r="A133" s="405" t="s">
        <v>128</v>
      </c>
      <c r="B133" s="398" t="s">
        <v>202</v>
      </c>
      <c r="C133" s="398" t="s">
        <v>202</v>
      </c>
      <c r="D133" s="405"/>
      <c r="E133" s="412"/>
      <c r="F133" s="409" t="s">
        <v>1140</v>
      </c>
      <c r="G133" s="377" t="s">
        <v>1264</v>
      </c>
    </row>
    <row r="134" spans="1:7">
      <c r="A134" s="405" t="s">
        <v>135</v>
      </c>
      <c r="B134" s="398" t="s">
        <v>202</v>
      </c>
      <c r="C134" s="398" t="s">
        <v>202</v>
      </c>
      <c r="D134" s="405"/>
      <c r="E134" s="412"/>
      <c r="F134" s="409" t="s">
        <v>1140</v>
      </c>
      <c r="G134" s="377" t="s">
        <v>1264</v>
      </c>
    </row>
    <row r="135" spans="1:7">
      <c r="A135" s="405" t="s">
        <v>139</v>
      </c>
      <c r="B135" s="398" t="s">
        <v>202</v>
      </c>
      <c r="C135" s="398" t="s">
        <v>202</v>
      </c>
      <c r="D135" s="405"/>
      <c r="E135" s="412"/>
      <c r="F135" s="409" t="s">
        <v>1140</v>
      </c>
      <c r="G135" s="377" t="s">
        <v>1264</v>
      </c>
    </row>
    <row r="136" spans="1:7">
      <c r="A136" s="405" t="s">
        <v>203</v>
      </c>
      <c r="B136" s="398" t="s">
        <v>204</v>
      </c>
      <c r="C136" s="398" t="s">
        <v>204</v>
      </c>
      <c r="D136" s="405"/>
      <c r="E136" s="412"/>
      <c r="F136" s="409" t="s">
        <v>1140</v>
      </c>
      <c r="G136" s="377" t="s">
        <v>1264</v>
      </c>
    </row>
    <row r="137" spans="1:7">
      <c r="A137" s="405" t="s">
        <v>205</v>
      </c>
      <c r="B137" s="398" t="s">
        <v>206</v>
      </c>
      <c r="C137" s="398" t="s">
        <v>206</v>
      </c>
      <c r="D137" s="405"/>
      <c r="E137" s="412"/>
      <c r="F137" s="409" t="s">
        <v>1140</v>
      </c>
      <c r="G137" s="377" t="s">
        <v>1264</v>
      </c>
    </row>
    <row r="138" spans="1:7">
      <c r="A138" s="405" t="s">
        <v>168</v>
      </c>
      <c r="B138" s="398" t="s">
        <v>207</v>
      </c>
      <c r="C138" s="398" t="s">
        <v>207</v>
      </c>
      <c r="D138" s="405"/>
      <c r="E138" s="412"/>
      <c r="F138" s="409" t="s">
        <v>1140</v>
      </c>
      <c r="G138" s="377" t="s">
        <v>1264</v>
      </c>
    </row>
    <row r="139" spans="1:7">
      <c r="A139" s="405" t="s">
        <v>170</v>
      </c>
      <c r="B139" s="398" t="s">
        <v>202</v>
      </c>
      <c r="C139" s="398" t="s">
        <v>202</v>
      </c>
      <c r="D139" s="405"/>
      <c r="E139" s="412"/>
      <c r="F139" s="409" t="s">
        <v>1140</v>
      </c>
      <c r="G139" s="377" t="s">
        <v>1264</v>
      </c>
    </row>
    <row r="140" spans="1:7">
      <c r="A140" s="405" t="s">
        <v>176</v>
      </c>
      <c r="B140" s="398" t="s">
        <v>208</v>
      </c>
      <c r="C140" s="398" t="s">
        <v>208</v>
      </c>
      <c r="D140" s="405"/>
      <c r="E140" s="412"/>
      <c r="F140" s="409" t="s">
        <v>1140</v>
      </c>
      <c r="G140" s="377" t="s">
        <v>1264</v>
      </c>
    </row>
    <row r="141" spans="1:7">
      <c r="A141" s="405" t="s">
        <v>177</v>
      </c>
      <c r="B141" s="398" t="s">
        <v>209</v>
      </c>
      <c r="C141" s="398" t="s">
        <v>209</v>
      </c>
      <c r="D141" s="405"/>
      <c r="E141" s="412"/>
      <c r="F141" s="409" t="s">
        <v>1140</v>
      </c>
      <c r="G141" s="377" t="s">
        <v>1264</v>
      </c>
    </row>
    <row r="142" spans="1:7">
      <c r="A142" s="405" t="s">
        <v>181</v>
      </c>
      <c r="B142" s="398" t="s">
        <v>210</v>
      </c>
      <c r="C142" s="398" t="s">
        <v>210</v>
      </c>
      <c r="D142" s="405"/>
      <c r="E142" s="412"/>
      <c r="F142" s="409" t="s">
        <v>1140</v>
      </c>
      <c r="G142" s="377" t="s">
        <v>1264</v>
      </c>
    </row>
    <row r="143" spans="1:7">
      <c r="A143" s="405" t="s">
        <v>211</v>
      </c>
      <c r="B143" s="398" t="s">
        <v>212</v>
      </c>
      <c r="C143" s="398" t="s">
        <v>212</v>
      </c>
      <c r="D143" s="405"/>
      <c r="E143" s="412"/>
      <c r="F143" s="409" t="s">
        <v>1140</v>
      </c>
      <c r="G143" s="377" t="s">
        <v>1264</v>
      </c>
    </row>
    <row r="144" spans="1:7">
      <c r="A144" s="405" t="s">
        <v>185</v>
      </c>
      <c r="B144" s="398" t="s">
        <v>213</v>
      </c>
      <c r="C144" s="398" t="s">
        <v>213</v>
      </c>
      <c r="D144" s="405"/>
      <c r="E144" s="412"/>
      <c r="F144" s="409" t="s">
        <v>1140</v>
      </c>
      <c r="G144" s="377" t="s">
        <v>1264</v>
      </c>
    </row>
    <row r="145" spans="1:7">
      <c r="A145" s="405" t="s">
        <v>214</v>
      </c>
      <c r="B145" s="398" t="s">
        <v>215</v>
      </c>
      <c r="C145" s="398" t="s">
        <v>215</v>
      </c>
      <c r="D145" s="405"/>
      <c r="E145" s="412"/>
      <c r="F145" s="409" t="s">
        <v>1140</v>
      </c>
      <c r="G145" s="377" t="s">
        <v>1264</v>
      </c>
    </row>
    <row r="146" spans="1:7"/>
    <row r="147" spans="1:7"/>
    <row r="148" spans="1:7"/>
    <row r="149" spans="1:7"/>
    <row r="150" spans="1:7" hidden="1">
      <c r="A150" s="375" t="s">
        <v>12</v>
      </c>
    </row>
    <row r="151" spans="1:7" hidden="1">
      <c r="A151" s="375" t="s">
        <v>1126</v>
      </c>
    </row>
    <row r="152" spans="1:7" hidden="1">
      <c r="A152" s="375" t="s">
        <v>1127</v>
      </c>
    </row>
    <row r="153" spans="1:7"/>
    <row r="154" spans="1:7"/>
    <row r="155" spans="1:7"/>
    <row r="156" spans="1:7"/>
    <row r="157" spans="1:7"/>
    <row r="158" spans="1:7"/>
    <row r="159" spans="1:7"/>
    <row r="160" spans="1:7"/>
    <row r="161"/>
  </sheetData>
  <sheetProtection sheet="1" objects="1" scenarios="1" selectLockedCells="1"/>
  <mergeCells count="17">
    <mergeCell ref="I17:N17"/>
    <mergeCell ref="I15:L15"/>
    <mergeCell ref="A12:F12"/>
    <mergeCell ref="A15:F15"/>
    <mergeCell ref="H12:N12"/>
    <mergeCell ref="N15:N16"/>
    <mergeCell ref="B29:F29"/>
    <mergeCell ref="B33:F33"/>
    <mergeCell ref="B70:F70"/>
    <mergeCell ref="A59:A62"/>
    <mergeCell ref="A7:H7"/>
    <mergeCell ref="I109:N109"/>
    <mergeCell ref="I79:N79"/>
    <mergeCell ref="I49:N49"/>
    <mergeCell ref="B126:F126"/>
    <mergeCell ref="B128:F128"/>
    <mergeCell ref="B125:F125"/>
  </mergeCells>
  <pageMargins left="0.511811024" right="0.511811024" top="0.78740157499999996" bottom="0.78740157499999996" header="0.31496062000000002" footer="0.31496062000000002"/>
  <drawing r:id="rId1"/>
  <legacy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3978"/>
  </sheetPr>
  <dimension ref="A6:EO50"/>
  <sheetViews>
    <sheetView showGridLines="0" topLeftCell="A10" zoomScale="90" zoomScaleNormal="90" workbookViewId="0">
      <selection activeCell="D17" sqref="D17:I17"/>
    </sheetView>
  </sheetViews>
  <sheetFormatPr defaultColWidth="8.88671875" defaultRowHeight="14.4"/>
  <cols>
    <col min="1" max="1" width="3.109375" style="5" customWidth="1"/>
    <col min="2" max="2" width="3" style="5" customWidth="1"/>
    <col min="3" max="3" width="12" style="5" customWidth="1"/>
    <col min="4" max="15" width="14.6640625" style="5" customWidth="1"/>
    <col min="16" max="16384" width="8.88671875" style="5"/>
  </cols>
  <sheetData>
    <row r="6" spans="1:145" ht="15" thickBot="1"/>
    <row r="7" spans="1:145" s="431" customFormat="1" ht="18.600000000000001" thickTop="1">
      <c r="A7" s="966"/>
      <c r="B7" s="1678" t="s">
        <v>1065</v>
      </c>
      <c r="C7" s="1679"/>
      <c r="D7" s="1679"/>
      <c r="E7" s="1679"/>
      <c r="F7" s="1679"/>
      <c r="G7" s="1679"/>
      <c r="H7" s="1679"/>
      <c r="I7" s="1679"/>
      <c r="J7" s="1679"/>
      <c r="K7" s="1679"/>
      <c r="L7" s="1679"/>
      <c r="M7" s="1679"/>
      <c r="N7" s="1680"/>
      <c r="O7" s="966"/>
      <c r="P7" s="427"/>
      <c r="Q7" s="427"/>
      <c r="R7" s="105"/>
      <c r="S7" s="428"/>
      <c r="T7" s="428"/>
      <c r="U7" s="429"/>
      <c r="V7" s="429"/>
      <c r="W7" s="429"/>
      <c r="X7" s="429"/>
      <c r="Y7" s="429"/>
      <c r="Z7" s="429"/>
      <c r="AA7" s="429"/>
      <c r="AB7" s="429"/>
      <c r="AC7" s="430"/>
      <c r="AD7" s="429"/>
      <c r="AE7" s="429"/>
      <c r="AF7" s="429"/>
      <c r="AG7" s="429"/>
      <c r="AH7" s="429"/>
      <c r="AI7" s="429"/>
      <c r="AJ7" s="429"/>
      <c r="AK7" s="429"/>
      <c r="AL7" s="429"/>
      <c r="AM7" s="429"/>
      <c r="AN7" s="429"/>
      <c r="AO7" s="429"/>
      <c r="AP7" s="429"/>
      <c r="AQ7" s="429"/>
      <c r="AR7" s="429"/>
      <c r="AS7" s="429"/>
      <c r="AT7" s="429"/>
      <c r="AU7" s="429"/>
      <c r="AV7" s="429"/>
      <c r="AW7" s="429"/>
      <c r="AX7" s="429"/>
      <c r="AY7" s="429"/>
      <c r="AZ7" s="429"/>
      <c r="BA7" s="429"/>
      <c r="BB7" s="429"/>
      <c r="BC7" s="429"/>
      <c r="BD7" s="429"/>
      <c r="BE7" s="429"/>
      <c r="BF7" s="429"/>
      <c r="BG7" s="429"/>
      <c r="BH7" s="429"/>
      <c r="BI7" s="429"/>
      <c r="BJ7" s="429"/>
      <c r="BK7" s="429"/>
      <c r="BL7" s="429"/>
      <c r="BM7" s="429"/>
      <c r="BN7" s="429"/>
      <c r="BO7" s="429"/>
      <c r="BP7" s="429"/>
      <c r="BQ7" s="429"/>
      <c r="BR7" s="429"/>
      <c r="BS7" s="429"/>
      <c r="BT7" s="429"/>
      <c r="BU7" s="429"/>
      <c r="BV7" s="429"/>
      <c r="BW7" s="429"/>
      <c r="BX7" s="429"/>
      <c r="BY7" s="429"/>
      <c r="BZ7" s="429"/>
      <c r="CA7" s="429"/>
      <c r="CB7" s="429"/>
      <c r="CC7" s="429"/>
      <c r="CD7" s="429"/>
      <c r="CE7" s="429"/>
      <c r="CF7" s="429"/>
      <c r="CG7" s="429"/>
      <c r="CH7" s="429"/>
      <c r="CI7" s="429"/>
      <c r="CJ7" s="429"/>
      <c r="CK7" s="429"/>
      <c r="CL7" s="429"/>
      <c r="CM7" s="429"/>
      <c r="CN7" s="429"/>
      <c r="CO7" s="429"/>
      <c r="CP7" s="429"/>
      <c r="CQ7" s="429"/>
      <c r="CR7" s="429"/>
      <c r="CS7" s="429"/>
      <c r="CT7" s="429"/>
      <c r="CU7" s="429"/>
      <c r="CV7" s="429"/>
      <c r="CW7" s="429"/>
      <c r="CX7" s="429"/>
      <c r="CY7" s="429"/>
      <c r="CZ7" s="429"/>
      <c r="DA7" s="429"/>
      <c r="DB7" s="429"/>
      <c r="DC7" s="429"/>
      <c r="DD7" s="429"/>
      <c r="DE7" s="429"/>
      <c r="DF7" s="429"/>
      <c r="DG7" s="429"/>
      <c r="DH7" s="429"/>
      <c r="DI7" s="429"/>
      <c r="DJ7" s="429"/>
      <c r="DK7" s="429"/>
      <c r="DL7" s="429"/>
      <c r="DM7" s="429"/>
      <c r="DN7" s="429"/>
      <c r="DO7" s="429"/>
      <c r="DP7" s="429"/>
      <c r="DQ7" s="429"/>
      <c r="DR7" s="429"/>
      <c r="DS7" s="429"/>
      <c r="DT7" s="429"/>
      <c r="DU7" s="429"/>
      <c r="DV7" s="429"/>
      <c r="DW7" s="429"/>
      <c r="DX7" s="429"/>
      <c r="DY7" s="429"/>
      <c r="DZ7" s="429"/>
      <c r="EA7" s="429"/>
      <c r="EB7" s="429"/>
      <c r="EC7" s="429"/>
      <c r="ED7" s="429"/>
      <c r="EE7" s="429"/>
      <c r="EF7" s="429"/>
      <c r="EG7" s="429"/>
      <c r="EH7" s="429"/>
      <c r="EI7" s="429"/>
      <c r="EJ7" s="429"/>
      <c r="EK7" s="429"/>
      <c r="EL7" s="429"/>
      <c r="EM7" s="429"/>
      <c r="EN7" s="429"/>
      <c r="EO7" s="429"/>
    </row>
    <row r="8" spans="1:145" s="134" customFormat="1" ht="18">
      <c r="A8" s="112"/>
      <c r="B8" s="128"/>
      <c r="C8" s="112"/>
      <c r="D8" s="112"/>
      <c r="E8" s="129" t="s">
        <v>1124</v>
      </c>
      <c r="F8" s="112"/>
      <c r="G8" s="112"/>
      <c r="H8" s="112"/>
      <c r="I8" s="112"/>
      <c r="J8" s="112"/>
      <c r="K8" s="130"/>
      <c r="L8" s="131"/>
      <c r="M8" s="112"/>
      <c r="N8" s="135"/>
      <c r="O8" s="112"/>
      <c r="P8" s="112"/>
      <c r="Q8" s="112"/>
      <c r="R8" s="112"/>
      <c r="S8" s="112"/>
      <c r="T8" s="112"/>
      <c r="U8" s="112"/>
      <c r="AC8" s="272"/>
    </row>
    <row r="9" spans="1:145" s="134" customFormat="1" ht="46.5" customHeight="1">
      <c r="A9" s="135"/>
      <c r="B9" s="128"/>
      <c r="C9" s="112"/>
      <c r="D9" s="133"/>
      <c r="E9" s="1767" t="s">
        <v>1302</v>
      </c>
      <c r="F9" s="1767"/>
      <c r="G9" s="1767"/>
      <c r="H9" s="1767"/>
      <c r="I9" s="1767"/>
      <c r="J9" s="1767"/>
      <c r="K9" s="1767"/>
      <c r="L9" s="1767"/>
      <c r="M9" s="1767"/>
      <c r="N9" s="135"/>
      <c r="O9" s="112"/>
      <c r="P9" s="112"/>
      <c r="Q9" s="112"/>
      <c r="R9" s="112"/>
      <c r="S9" s="112"/>
      <c r="T9" s="112"/>
      <c r="U9" s="112"/>
      <c r="AC9" s="272"/>
    </row>
    <row r="10" spans="1:145" s="134" customFormat="1">
      <c r="A10" s="135"/>
      <c r="B10" s="128"/>
      <c r="C10" s="112"/>
      <c r="D10" s="112"/>
      <c r="E10" s="112"/>
      <c r="F10" s="112"/>
      <c r="G10" s="112"/>
      <c r="H10" s="112"/>
      <c r="I10" s="112"/>
      <c r="J10" s="112"/>
      <c r="K10" s="112"/>
      <c r="L10" s="112"/>
      <c r="M10" s="112"/>
      <c r="N10" s="135"/>
      <c r="O10" s="112"/>
      <c r="P10" s="112"/>
      <c r="Q10" s="112"/>
      <c r="R10" s="112"/>
      <c r="S10" s="112"/>
      <c r="T10" s="112"/>
      <c r="U10" s="112"/>
      <c r="AC10" s="272"/>
    </row>
    <row r="11" spans="1:145" s="134" customFormat="1" ht="15.6">
      <c r="A11" s="135"/>
      <c r="B11" s="1722" t="s">
        <v>488</v>
      </c>
      <c r="C11" s="1723"/>
      <c r="D11" s="1723"/>
      <c r="E11" s="1723"/>
      <c r="F11" s="1723"/>
      <c r="G11" s="1723"/>
      <c r="H11" s="1723"/>
      <c r="I11" s="1723"/>
      <c r="J11" s="1723"/>
      <c r="K11" s="1723"/>
      <c r="L11" s="1723"/>
      <c r="M11" s="1723"/>
      <c r="N11" s="1724"/>
      <c r="O11" s="112"/>
      <c r="P11" s="112"/>
      <c r="Q11" s="112"/>
      <c r="R11" s="112"/>
      <c r="S11" s="112"/>
      <c r="T11" s="112"/>
      <c r="U11" s="112"/>
    </row>
    <row r="12" spans="1:145" s="134" customFormat="1" ht="15" thickBot="1">
      <c r="B12" s="128"/>
      <c r="C12" s="112"/>
      <c r="D12" s="261"/>
      <c r="E12" s="261"/>
      <c r="F12" s="261"/>
      <c r="G12" s="261"/>
      <c r="H12" s="261"/>
      <c r="I12" s="261"/>
      <c r="J12" s="261"/>
      <c r="K12" s="261"/>
      <c r="L12" s="261"/>
      <c r="M12" s="261"/>
      <c r="N12" s="135"/>
      <c r="O12" s="112"/>
      <c r="P12" s="112"/>
      <c r="Q12" s="112"/>
      <c r="R12" s="112"/>
      <c r="S12" s="112"/>
      <c r="T12" s="112"/>
    </row>
    <row r="13" spans="1:145" s="134" customFormat="1">
      <c r="B13" s="128"/>
      <c r="C13" s="112"/>
      <c r="D13" s="1091" t="s">
        <v>499</v>
      </c>
      <c r="E13" s="61"/>
      <c r="F13" s="61"/>
      <c r="G13" s="61"/>
      <c r="H13" s="61"/>
      <c r="I13" s="61"/>
      <c r="J13" s="1185" t="s">
        <v>492</v>
      </c>
      <c r="K13" s="1185" t="s">
        <v>24</v>
      </c>
      <c r="L13" s="1185" t="s">
        <v>501</v>
      </c>
      <c r="M13" s="432"/>
      <c r="N13" s="135"/>
      <c r="O13" s="112"/>
      <c r="P13" s="112"/>
      <c r="Q13" s="112"/>
      <c r="R13" s="112"/>
      <c r="S13" s="112"/>
      <c r="T13" s="112"/>
      <c r="U13" s="112"/>
    </row>
    <row r="14" spans="1:145" s="134" customFormat="1" ht="15" customHeight="1">
      <c r="B14" s="128"/>
      <c r="C14" s="331"/>
      <c r="D14" s="262" t="s">
        <v>1148</v>
      </c>
      <c r="E14" s="129"/>
      <c r="F14" s="129"/>
      <c r="G14" s="129"/>
      <c r="H14" s="129"/>
      <c r="I14" s="129"/>
      <c r="J14" s="1796" t="s">
        <v>12</v>
      </c>
      <c r="K14" s="1796"/>
      <c r="L14" s="1796"/>
      <c r="M14" s="1797"/>
      <c r="N14" s="135"/>
      <c r="O14" s="112"/>
      <c r="P14" s="112"/>
      <c r="Q14" s="112"/>
      <c r="R14" s="112"/>
      <c r="S14" s="112"/>
      <c r="T14" s="112"/>
      <c r="U14" s="112"/>
    </row>
    <row r="15" spans="1:145" s="134" customFormat="1">
      <c r="B15" s="128"/>
      <c r="C15" s="112"/>
      <c r="D15" s="1731" t="s">
        <v>1235</v>
      </c>
      <c r="E15" s="1732"/>
      <c r="F15" s="1732"/>
      <c r="G15" s="1732"/>
      <c r="H15" s="1732"/>
      <c r="I15" s="1732"/>
      <c r="J15" s="433"/>
      <c r="K15" s="433"/>
      <c r="L15" s="1802" t="str">
        <f>IF(J14="Selecione","Preencha o parâmetro e unidade","-")</f>
        <v>Preencha o parâmetro e unidade</v>
      </c>
      <c r="M15" s="1803"/>
      <c r="N15" s="135"/>
      <c r="O15" s="112"/>
      <c r="P15" s="112"/>
      <c r="Q15" s="112"/>
      <c r="R15" s="112"/>
      <c r="S15" s="112"/>
      <c r="T15" s="112"/>
      <c r="U15" s="112"/>
    </row>
    <row r="16" spans="1:145" s="134" customFormat="1" ht="32.25" customHeight="1">
      <c r="B16" s="128"/>
      <c r="C16" s="112"/>
      <c r="D16" s="1790" t="s">
        <v>1377</v>
      </c>
      <c r="E16" s="1791"/>
      <c r="F16" s="1791"/>
      <c r="G16" s="1791"/>
      <c r="H16" s="1791"/>
      <c r="I16" s="1791"/>
      <c r="J16" s="434"/>
      <c r="K16" s="435" t="str">
        <f>IFERROR(IF(K15&lt;&gt;"",K15,(VLOOKUP(J14,Apoio_Efluentes!A17:C56,3,FALSE))),"")</f>
        <v/>
      </c>
      <c r="L16" s="1794" t="s">
        <v>1160</v>
      </c>
      <c r="M16" s="1795"/>
      <c r="N16" s="135"/>
      <c r="O16" s="112"/>
      <c r="P16" s="112"/>
      <c r="Q16" s="112"/>
      <c r="R16" s="112"/>
      <c r="S16" s="112"/>
      <c r="T16" s="112"/>
      <c r="U16" s="112"/>
    </row>
    <row r="17" spans="1:32" s="134" customFormat="1" ht="26.25" customHeight="1">
      <c r="B17" s="128"/>
      <c r="C17" s="112"/>
      <c r="D17" s="1792" t="s">
        <v>1378</v>
      </c>
      <c r="E17" s="1667"/>
      <c r="F17" s="1667"/>
      <c r="G17" s="1667"/>
      <c r="H17" s="1667"/>
      <c r="I17" s="1667"/>
      <c r="J17" s="434"/>
      <c r="K17" s="287" t="str">
        <f>IF(K16="","",K16)</f>
        <v/>
      </c>
      <c r="L17" s="1800" t="s">
        <v>1234</v>
      </c>
      <c r="M17" s="1801"/>
      <c r="N17" s="135"/>
      <c r="O17" s="112"/>
      <c r="P17" s="112"/>
      <c r="Q17" s="112"/>
      <c r="R17" s="112"/>
      <c r="S17" s="112"/>
      <c r="T17" s="112"/>
      <c r="U17" s="112"/>
    </row>
    <row r="18" spans="1:32" s="134" customFormat="1" ht="16.8">
      <c r="B18" s="128"/>
      <c r="C18" s="112"/>
      <c r="D18" s="150" t="s">
        <v>1379</v>
      </c>
      <c r="E18" s="129"/>
      <c r="F18" s="129"/>
      <c r="G18" s="129"/>
      <c r="H18" s="129"/>
      <c r="I18" s="129"/>
      <c r="J18" s="436"/>
      <c r="K18" s="1187" t="s">
        <v>1317</v>
      </c>
      <c r="L18" s="1798"/>
      <c r="M18" s="1799"/>
      <c r="N18" s="135"/>
      <c r="O18" s="112"/>
      <c r="P18" s="112"/>
      <c r="Q18" s="112"/>
      <c r="R18" s="112"/>
      <c r="S18" s="112"/>
      <c r="T18" s="112"/>
      <c r="U18" s="112"/>
    </row>
    <row r="19" spans="1:32" s="134" customFormat="1" ht="16.8">
      <c r="B19" s="128"/>
      <c r="C19" s="112"/>
      <c r="D19" s="1793" t="s">
        <v>1380</v>
      </c>
      <c r="E19" s="1682"/>
      <c r="F19" s="1682"/>
      <c r="G19" s="1682"/>
      <c r="H19" s="1682"/>
      <c r="I19" s="1682"/>
      <c r="J19" s="436"/>
      <c r="K19" s="1187" t="s">
        <v>1324</v>
      </c>
      <c r="L19" s="1798"/>
      <c r="M19" s="1799"/>
      <c r="N19" s="135"/>
      <c r="O19" s="112"/>
      <c r="P19" s="112"/>
      <c r="Q19" s="112"/>
      <c r="R19" s="112"/>
      <c r="S19" s="112"/>
      <c r="T19" s="112"/>
      <c r="U19" s="112"/>
    </row>
    <row r="20" spans="1:32" s="134" customFormat="1" ht="33.75" customHeight="1" thickBot="1">
      <c r="B20" s="128"/>
      <c r="C20" s="112"/>
      <c r="D20" s="1806" t="s">
        <v>1381</v>
      </c>
      <c r="E20" s="1807"/>
      <c r="F20" s="1807"/>
      <c r="G20" s="1807"/>
      <c r="H20" s="1807"/>
      <c r="I20" s="1807"/>
      <c r="J20" s="437"/>
      <c r="K20" s="438" t="s">
        <v>13</v>
      </c>
      <c r="L20" s="1808"/>
      <c r="M20" s="1809"/>
      <c r="N20" s="135"/>
      <c r="O20" s="112"/>
      <c r="P20" s="112"/>
      <c r="Q20" s="112"/>
      <c r="R20" s="112"/>
      <c r="S20" s="112"/>
      <c r="T20" s="112"/>
      <c r="U20" s="112"/>
    </row>
    <row r="21" spans="1:32" s="134" customFormat="1">
      <c r="B21" s="128"/>
      <c r="C21" s="112"/>
      <c r="D21" s="112"/>
      <c r="E21" s="129"/>
      <c r="F21" s="129"/>
      <c r="G21" s="129"/>
      <c r="H21" s="129"/>
      <c r="I21" s="129"/>
      <c r="J21" s="439"/>
      <c r="K21" s="280"/>
      <c r="L21" s="112"/>
      <c r="M21" s="112"/>
      <c r="N21" s="135"/>
      <c r="O21" s="112"/>
      <c r="P21" s="112"/>
      <c r="Q21" s="112"/>
      <c r="R21" s="112"/>
      <c r="S21" s="112"/>
      <c r="T21" s="112"/>
      <c r="U21" s="112"/>
      <c r="AE21" s="112"/>
      <c r="AF21" s="112"/>
    </row>
    <row r="22" spans="1:32" s="134" customFormat="1" ht="18">
      <c r="A22" s="135"/>
      <c r="B22" s="1722" t="s">
        <v>490</v>
      </c>
      <c r="C22" s="1723"/>
      <c r="D22" s="1723"/>
      <c r="E22" s="1723"/>
      <c r="F22" s="1723"/>
      <c r="G22" s="1723"/>
      <c r="H22" s="1723"/>
      <c r="I22" s="1723"/>
      <c r="J22" s="1723"/>
      <c r="K22" s="1723"/>
      <c r="L22" s="1723"/>
      <c r="M22" s="1723"/>
      <c r="N22" s="1724"/>
      <c r="O22" s="440"/>
      <c r="P22" s="440"/>
      <c r="Q22" s="122"/>
      <c r="R22" s="122"/>
      <c r="S22" s="122"/>
      <c r="T22" s="441"/>
      <c r="AE22" s="442"/>
      <c r="AF22" s="112"/>
    </row>
    <row r="23" spans="1:32" s="134" customFormat="1" ht="10.5" customHeight="1">
      <c r="B23" s="443"/>
      <c r="C23" s="441"/>
      <c r="D23" s="122"/>
      <c r="E23" s="122"/>
      <c r="F23" s="122"/>
      <c r="G23" s="122"/>
      <c r="H23" s="122"/>
      <c r="I23" s="122"/>
      <c r="J23" s="122"/>
      <c r="K23" s="122"/>
      <c r="L23" s="122"/>
      <c r="M23" s="122"/>
      <c r="N23" s="194"/>
      <c r="O23" s="122"/>
      <c r="P23" s="122"/>
      <c r="Q23" s="122"/>
      <c r="R23" s="122"/>
      <c r="S23" s="122"/>
      <c r="T23" s="441"/>
      <c r="U23" s="112"/>
      <c r="AE23" s="442"/>
      <c r="AF23" s="112"/>
    </row>
    <row r="24" spans="1:32" s="134" customFormat="1" ht="18.600000000000001" thickBot="1">
      <c r="B24" s="443"/>
      <c r="C24" s="441"/>
      <c r="D24" s="112"/>
      <c r="E24" s="112"/>
      <c r="F24" s="112"/>
      <c r="G24" s="1670" t="s">
        <v>2</v>
      </c>
      <c r="H24" s="1670"/>
      <c r="I24" s="1670"/>
      <c r="J24" s="122"/>
      <c r="K24" s="444"/>
      <c r="L24" s="444"/>
      <c r="M24" s="444"/>
      <c r="N24" s="194"/>
      <c r="O24" s="122"/>
      <c r="P24" s="122"/>
      <c r="Q24" s="122"/>
      <c r="R24" s="122"/>
      <c r="S24" s="122"/>
      <c r="T24" s="441"/>
      <c r="U24" s="112"/>
      <c r="AA24" s="112"/>
      <c r="AB24" s="280"/>
      <c r="AC24" s="351"/>
      <c r="AD24" s="112"/>
      <c r="AE24" s="442"/>
      <c r="AF24" s="112"/>
    </row>
    <row r="25" spans="1:32" s="134" customFormat="1" ht="18.600000000000001" thickBot="1">
      <c r="B25" s="443"/>
      <c r="C25" s="441"/>
      <c r="D25" s="331"/>
      <c r="E25" s="112"/>
      <c r="F25" s="112"/>
      <c r="G25" s="1804" t="s">
        <v>1066</v>
      </c>
      <c r="H25" s="1805"/>
      <c r="I25" s="1182" t="str">
        <f>IF(J16="","",IF(J17&lt;J16,"N/A",J16-J17))</f>
        <v/>
      </c>
      <c r="J25" s="445" t="str">
        <f>K16</f>
        <v/>
      </c>
      <c r="K25" s="122"/>
      <c r="L25" s="122"/>
      <c r="M25" s="122"/>
      <c r="N25" s="194"/>
      <c r="O25" s="172"/>
      <c r="R25" s="172"/>
      <c r="S25" s="175"/>
      <c r="T25" s="441"/>
      <c r="U25" s="112"/>
      <c r="AA25" s="112"/>
      <c r="AB25" s="280"/>
      <c r="AC25" s="351"/>
      <c r="AD25" s="112"/>
      <c r="AE25" s="442"/>
      <c r="AF25" s="112"/>
    </row>
    <row r="26" spans="1:32" s="134" customFormat="1" ht="18.600000000000001" thickBot="1">
      <c r="B26" s="443"/>
      <c r="C26" s="446"/>
      <c r="D26" s="112"/>
      <c r="E26" s="112"/>
      <c r="F26" s="153"/>
      <c r="G26" s="97" t="s">
        <v>493</v>
      </c>
      <c r="H26" s="447"/>
      <c r="I26" s="447" t="str">
        <f>IF(I25="","",IF(I25&lt;0,(J18*J19+J20)*-1,(J18*J19+J20)))</f>
        <v/>
      </c>
      <c r="J26" s="448" t="s">
        <v>13</v>
      </c>
      <c r="K26" s="449"/>
      <c r="L26" s="449"/>
      <c r="M26" s="175"/>
      <c r="N26" s="194"/>
      <c r="O26" s="122"/>
      <c r="P26" s="122"/>
      <c r="Q26" s="122"/>
      <c r="R26" s="122"/>
      <c r="S26" s="307"/>
      <c r="T26" s="441"/>
      <c r="U26" s="112"/>
      <c r="AA26" s="112"/>
      <c r="AB26" s="280"/>
      <c r="AC26" s="351"/>
      <c r="AD26" s="112"/>
      <c r="AE26" s="442"/>
      <c r="AF26" s="112"/>
    </row>
    <row r="27" spans="1:32" s="14" customFormat="1">
      <c r="B27" s="50"/>
      <c r="C27" s="1184"/>
      <c r="D27" s="1184"/>
      <c r="E27" s="1184"/>
      <c r="F27" s="1184"/>
      <c r="G27" s="1184"/>
      <c r="H27" s="1184"/>
      <c r="I27" s="1184"/>
      <c r="J27" s="1184"/>
      <c r="K27" s="1184"/>
      <c r="L27" s="1184"/>
      <c r="M27" s="1184"/>
      <c r="N27" s="450"/>
      <c r="O27" s="20"/>
      <c r="AC27" s="217"/>
    </row>
    <row r="28" spans="1:32" s="14" customFormat="1" ht="15.6">
      <c r="A28" s="450"/>
      <c r="B28" s="1663" t="s">
        <v>1298</v>
      </c>
      <c r="C28" s="1664"/>
      <c r="D28" s="1664"/>
      <c r="E28" s="1664"/>
      <c r="F28" s="1664"/>
      <c r="G28" s="1664"/>
      <c r="H28" s="1664"/>
      <c r="I28" s="1664"/>
      <c r="J28" s="1664"/>
      <c r="K28" s="1664"/>
      <c r="L28" s="1664"/>
      <c r="M28" s="1664"/>
      <c r="N28" s="1665"/>
      <c r="O28" s="20"/>
      <c r="AC28" s="217"/>
    </row>
    <row r="29" spans="1:32" s="14" customFormat="1">
      <c r="A29" s="450"/>
      <c r="B29" s="50"/>
      <c r="C29" s="1183"/>
      <c r="D29" s="1184"/>
      <c r="E29" s="1184"/>
      <c r="F29" s="1184"/>
      <c r="G29" s="1184"/>
      <c r="H29" s="1184"/>
      <c r="I29" s="1184"/>
      <c r="J29" s="1184"/>
      <c r="K29" s="1184"/>
      <c r="L29" s="1184"/>
      <c r="M29" s="1184"/>
      <c r="N29" s="450"/>
      <c r="O29" s="20"/>
      <c r="AC29" s="217"/>
    </row>
    <row r="30" spans="1:32" s="14" customFormat="1" ht="15" thickBot="1">
      <c r="B30" s="50"/>
      <c r="C30" s="1184"/>
      <c r="D30" s="1184"/>
      <c r="E30" s="1184"/>
      <c r="F30" s="7" t="s">
        <v>1684</v>
      </c>
      <c r="G30" s="1184"/>
      <c r="H30" s="1184"/>
      <c r="I30" s="1184"/>
      <c r="J30" s="1184"/>
      <c r="K30" s="1184"/>
      <c r="L30" s="1184"/>
      <c r="M30" s="1184"/>
      <c r="N30" s="450"/>
      <c r="AC30" s="217"/>
    </row>
    <row r="31" spans="1:32" s="14" customFormat="1" ht="15.6">
      <c r="B31" s="50"/>
      <c r="C31" s="1184"/>
      <c r="D31" s="1184"/>
      <c r="E31" s="1184"/>
      <c r="F31" s="1814" t="s">
        <v>23</v>
      </c>
      <c r="G31" s="1815"/>
      <c r="H31" s="1739" t="s">
        <v>1066</v>
      </c>
      <c r="I31" s="1739"/>
      <c r="J31" s="1812" t="s">
        <v>1179</v>
      </c>
      <c r="K31" s="1813"/>
      <c r="L31" s="1184"/>
      <c r="M31" s="1184"/>
      <c r="N31" s="450"/>
      <c r="AC31" s="217"/>
    </row>
    <row r="32" spans="1:32" s="14" customFormat="1">
      <c r="B32" s="50"/>
      <c r="C32" s="1184"/>
      <c r="D32" s="1184"/>
      <c r="E32" s="1184"/>
      <c r="F32" s="1818"/>
      <c r="G32" s="1816"/>
      <c r="H32" s="1810"/>
      <c r="I32" s="1810"/>
      <c r="J32" s="1810"/>
      <c r="K32" s="1811"/>
      <c r="L32" s="1184"/>
      <c r="M32" s="1184"/>
      <c r="N32" s="450"/>
      <c r="AC32" s="217"/>
    </row>
    <row r="33" spans="1:52" s="14" customFormat="1">
      <c r="B33" s="50"/>
      <c r="C33" s="1184"/>
      <c r="D33" s="1184"/>
      <c r="E33" s="1184"/>
      <c r="F33" s="1818"/>
      <c r="G33" s="1816"/>
      <c r="H33" s="1810"/>
      <c r="I33" s="1810"/>
      <c r="J33" s="1810"/>
      <c r="K33" s="1811"/>
      <c r="L33" s="1184"/>
      <c r="M33" s="1184"/>
      <c r="N33" s="450"/>
      <c r="AC33" s="217"/>
    </row>
    <row r="34" spans="1:52" s="14" customFormat="1">
      <c r="B34" s="50"/>
      <c r="C34" s="1184"/>
      <c r="D34" s="1184"/>
      <c r="E34" s="1184"/>
      <c r="F34" s="1818"/>
      <c r="G34" s="1816"/>
      <c r="H34" s="1816"/>
      <c r="I34" s="1816"/>
      <c r="J34" s="1816"/>
      <c r="K34" s="1817"/>
      <c r="L34" s="1184"/>
      <c r="M34" s="1184"/>
      <c r="N34" s="450"/>
      <c r="AC34" s="217"/>
    </row>
    <row r="35" spans="1:52" s="14" customFormat="1">
      <c r="B35" s="50"/>
      <c r="C35" s="1184"/>
      <c r="D35" s="1184"/>
      <c r="E35" s="1184"/>
      <c r="F35" s="1818"/>
      <c r="G35" s="1816"/>
      <c r="H35" s="1816"/>
      <c r="I35" s="1816"/>
      <c r="J35" s="1816"/>
      <c r="K35" s="1817"/>
      <c r="L35" s="1184"/>
      <c r="M35" s="1184"/>
      <c r="N35" s="450"/>
      <c r="AC35" s="217"/>
    </row>
    <row r="36" spans="1:52" s="14" customFormat="1">
      <c r="B36" s="50"/>
      <c r="C36" s="1184"/>
      <c r="D36" s="1184"/>
      <c r="E36" s="1184"/>
      <c r="F36" s="1818"/>
      <c r="G36" s="1816"/>
      <c r="H36" s="1816"/>
      <c r="I36" s="1816"/>
      <c r="J36" s="1816"/>
      <c r="K36" s="1817"/>
      <c r="L36" s="1184"/>
      <c r="M36" s="1184"/>
      <c r="N36" s="450"/>
      <c r="AC36" s="217"/>
    </row>
    <row r="37" spans="1:52" s="14" customFormat="1">
      <c r="B37" s="50"/>
      <c r="C37" s="1184"/>
      <c r="D37" s="1184"/>
      <c r="E37" s="1184"/>
      <c r="F37" s="1818"/>
      <c r="G37" s="1816"/>
      <c r="H37" s="1816"/>
      <c r="I37" s="1816"/>
      <c r="J37" s="1816"/>
      <c r="K37" s="1817"/>
      <c r="L37" s="1184"/>
      <c r="M37" s="1184"/>
      <c r="N37" s="450"/>
      <c r="AC37" s="217"/>
    </row>
    <row r="38" spans="1:52" s="14" customFormat="1">
      <c r="B38" s="50"/>
      <c r="C38" s="1184"/>
      <c r="D38" s="1184"/>
      <c r="E38" s="1184"/>
      <c r="F38" s="1818"/>
      <c r="G38" s="1816"/>
      <c r="H38" s="1816"/>
      <c r="I38" s="1816"/>
      <c r="J38" s="1816"/>
      <c r="K38" s="1817"/>
      <c r="L38" s="1184"/>
      <c r="M38" s="1184"/>
      <c r="N38" s="450"/>
      <c r="AC38" s="217"/>
    </row>
    <row r="39" spans="1:52" s="14" customFormat="1">
      <c r="B39" s="50"/>
      <c r="C39" s="1184"/>
      <c r="D39" s="1184"/>
      <c r="E39" s="1184"/>
      <c r="F39" s="1818"/>
      <c r="G39" s="1816"/>
      <c r="H39" s="1816"/>
      <c r="I39" s="1816"/>
      <c r="J39" s="1816"/>
      <c r="K39" s="1817"/>
      <c r="L39" s="1184"/>
      <c r="M39" s="1184"/>
      <c r="N39" s="450"/>
      <c r="AC39" s="217"/>
    </row>
    <row r="40" spans="1:52" s="14" customFormat="1">
      <c r="B40" s="50"/>
      <c r="C40" s="1184"/>
      <c r="D40" s="1184"/>
      <c r="E40" s="1184"/>
      <c r="F40" s="1818"/>
      <c r="G40" s="1816"/>
      <c r="H40" s="1816"/>
      <c r="I40" s="1816"/>
      <c r="J40" s="1816"/>
      <c r="K40" s="1817"/>
      <c r="L40" s="1184"/>
      <c r="M40" s="1184"/>
      <c r="N40" s="450"/>
      <c r="AC40" s="217"/>
    </row>
    <row r="41" spans="1:52" s="14" customFormat="1" ht="15" thickBot="1">
      <c r="B41" s="50"/>
      <c r="C41" s="1184"/>
      <c r="D41" s="1184"/>
      <c r="E41" s="1184"/>
      <c r="F41" s="1821"/>
      <c r="G41" s="1819"/>
      <c r="H41" s="1819"/>
      <c r="I41" s="1819"/>
      <c r="J41" s="1819"/>
      <c r="K41" s="1820"/>
      <c r="L41" s="1184"/>
      <c r="M41" s="1184"/>
      <c r="N41" s="450"/>
      <c r="AC41" s="217"/>
    </row>
    <row r="42" spans="1:52" ht="15" thickBot="1">
      <c r="A42" s="14"/>
      <c r="B42" s="127"/>
      <c r="C42" s="35"/>
      <c r="D42" s="35"/>
      <c r="E42" s="35"/>
      <c r="F42" s="35"/>
      <c r="G42" s="35"/>
      <c r="H42" s="35"/>
      <c r="I42" s="35"/>
      <c r="J42" s="35"/>
      <c r="K42" s="35"/>
      <c r="L42" s="35"/>
      <c r="M42" s="35"/>
      <c r="N42" s="36"/>
      <c r="U42" s="14"/>
      <c r="V42" s="14"/>
      <c r="W42" s="14"/>
      <c r="X42" s="14"/>
      <c r="Y42" s="14"/>
      <c r="Z42" s="14"/>
      <c r="AA42" s="14"/>
      <c r="AB42" s="14"/>
      <c r="AC42" s="217"/>
      <c r="AD42" s="14"/>
      <c r="AE42" s="14"/>
      <c r="AF42" s="14"/>
      <c r="AG42" s="14"/>
      <c r="AH42" s="14"/>
      <c r="AI42" s="14"/>
      <c r="AJ42" s="14"/>
    </row>
    <row r="43" spans="1:52" ht="15" thickTop="1">
      <c r="A43" s="14"/>
      <c r="U43" s="14"/>
      <c r="V43" s="14"/>
      <c r="W43" s="14"/>
      <c r="X43" s="14"/>
      <c r="Y43" s="14"/>
      <c r="Z43" s="14"/>
      <c r="AA43" s="14"/>
      <c r="AB43" s="14"/>
      <c r="AC43" s="217"/>
      <c r="AD43" s="14"/>
      <c r="AE43" s="14"/>
      <c r="AF43" s="14"/>
      <c r="AG43" s="14"/>
      <c r="AH43" s="14"/>
      <c r="AI43" s="14"/>
      <c r="AJ43" s="14"/>
    </row>
    <row r="44" spans="1:52" s="14" customFormat="1">
      <c r="B44" s="5"/>
      <c r="C44" s="5"/>
      <c r="D44" s="5"/>
      <c r="E44" s="5"/>
      <c r="F44" s="5"/>
      <c r="G44" s="5"/>
      <c r="H44" s="5"/>
      <c r="I44" s="5"/>
      <c r="J44" s="5"/>
      <c r="K44" s="5"/>
      <c r="L44" s="5"/>
      <c r="M44" s="5"/>
      <c r="N44" s="5"/>
      <c r="O44" s="5"/>
      <c r="P44" s="5"/>
      <c r="Q44" s="5"/>
      <c r="R44" s="5"/>
      <c r="S44" s="5"/>
      <c r="T44" s="5"/>
      <c r="AC44" s="217"/>
      <c r="AK44" s="5"/>
      <c r="AL44" s="5"/>
      <c r="AM44" s="5"/>
      <c r="AN44" s="5"/>
      <c r="AO44" s="5"/>
      <c r="AP44" s="5"/>
      <c r="AQ44" s="5"/>
      <c r="AR44" s="5"/>
      <c r="AS44" s="5"/>
      <c r="AT44" s="5"/>
      <c r="AU44" s="5"/>
      <c r="AV44" s="5"/>
      <c r="AW44" s="5"/>
      <c r="AX44" s="5"/>
      <c r="AY44" s="5"/>
      <c r="AZ44" s="5"/>
    </row>
    <row r="45" spans="1:52" s="14" customFormat="1">
      <c r="D45" s="5"/>
      <c r="E45" s="5"/>
      <c r="F45" s="5"/>
      <c r="G45" s="5"/>
      <c r="H45" s="5"/>
      <c r="I45" s="5"/>
      <c r="J45" s="5"/>
      <c r="K45" s="5"/>
      <c r="L45" s="5"/>
      <c r="M45" s="5"/>
      <c r="N45" s="5"/>
      <c r="O45" s="5"/>
      <c r="P45" s="5"/>
      <c r="Q45" s="5"/>
      <c r="R45" s="5"/>
      <c r="S45" s="5"/>
      <c r="T45" s="5"/>
      <c r="AC45" s="217"/>
      <c r="AK45" s="5"/>
      <c r="AL45" s="5"/>
      <c r="AM45" s="5"/>
      <c r="AN45" s="5"/>
      <c r="AO45" s="5"/>
      <c r="AP45" s="5"/>
      <c r="AQ45" s="5"/>
      <c r="AR45" s="5"/>
      <c r="AS45" s="5"/>
      <c r="AT45" s="5"/>
      <c r="AU45" s="5"/>
      <c r="AV45" s="5"/>
      <c r="AW45" s="5"/>
      <c r="AX45" s="5"/>
      <c r="AY45" s="5"/>
      <c r="AZ45" s="5"/>
    </row>
    <row r="46" spans="1:52" s="14" customFormat="1">
      <c r="D46" s="5"/>
      <c r="E46" s="5"/>
      <c r="F46" s="5"/>
      <c r="G46" s="5"/>
      <c r="H46" s="5"/>
      <c r="I46" s="5"/>
      <c r="J46" s="5"/>
      <c r="K46" s="5"/>
      <c r="L46" s="5"/>
      <c r="M46" s="5"/>
      <c r="N46" s="5"/>
      <c r="O46" s="5"/>
      <c r="P46" s="5"/>
      <c r="Q46" s="5"/>
      <c r="R46" s="5"/>
      <c r="S46" s="5"/>
      <c r="T46" s="5"/>
      <c r="AC46" s="217"/>
      <c r="AK46" s="5"/>
      <c r="AL46" s="5"/>
      <c r="AM46" s="5"/>
      <c r="AN46" s="5"/>
      <c r="AO46" s="5"/>
      <c r="AP46" s="5"/>
      <c r="AQ46" s="5"/>
      <c r="AR46" s="5"/>
      <c r="AS46" s="5"/>
      <c r="AT46" s="5"/>
      <c r="AU46" s="5"/>
      <c r="AV46" s="5"/>
      <c r="AW46" s="5"/>
      <c r="AX46" s="5"/>
      <c r="AY46" s="5"/>
      <c r="AZ46" s="5"/>
    </row>
    <row r="47" spans="1:52" s="14" customFormat="1">
      <c r="D47" s="5"/>
      <c r="E47" s="5"/>
      <c r="F47" s="5"/>
      <c r="G47" s="5"/>
      <c r="H47" s="5"/>
      <c r="I47" s="5"/>
      <c r="J47" s="5"/>
      <c r="K47" s="5"/>
      <c r="L47" s="5"/>
      <c r="M47" s="5"/>
      <c r="N47" s="5"/>
      <c r="O47" s="5"/>
      <c r="P47" s="5"/>
      <c r="Q47" s="5"/>
      <c r="R47" s="5"/>
      <c r="S47" s="5"/>
      <c r="T47" s="5"/>
      <c r="AC47" s="217"/>
      <c r="AK47" s="5"/>
      <c r="AL47" s="5"/>
      <c r="AM47" s="5"/>
      <c r="AN47" s="5"/>
      <c r="AO47" s="5"/>
      <c r="AP47" s="5"/>
      <c r="AQ47" s="5"/>
      <c r="AR47" s="5"/>
      <c r="AS47" s="5"/>
      <c r="AT47" s="5"/>
      <c r="AU47" s="5"/>
      <c r="AV47" s="5"/>
      <c r="AW47" s="5"/>
      <c r="AX47" s="5"/>
      <c r="AY47" s="5"/>
      <c r="AZ47" s="5"/>
    </row>
    <row r="48" spans="1:52" s="14" customFormat="1">
      <c r="D48" s="5"/>
      <c r="E48" s="5"/>
      <c r="F48" s="5"/>
      <c r="G48" s="5"/>
      <c r="H48" s="5"/>
      <c r="I48" s="5"/>
      <c r="J48" s="5"/>
      <c r="K48" s="5"/>
      <c r="L48" s="5"/>
      <c r="M48" s="5"/>
      <c r="N48" s="5"/>
      <c r="O48" s="5"/>
      <c r="P48" s="5"/>
      <c r="Q48" s="5"/>
      <c r="R48" s="5"/>
      <c r="S48" s="5"/>
      <c r="T48" s="5"/>
      <c r="AC48" s="217"/>
      <c r="AK48" s="5"/>
      <c r="AL48" s="5"/>
      <c r="AM48" s="5"/>
      <c r="AN48" s="5"/>
      <c r="AO48" s="5"/>
      <c r="AP48" s="5"/>
      <c r="AQ48" s="5"/>
      <c r="AR48" s="5"/>
      <c r="AS48" s="5"/>
      <c r="AT48" s="5"/>
      <c r="AU48" s="5"/>
      <c r="AV48" s="5"/>
      <c r="AW48" s="5"/>
      <c r="AX48" s="5"/>
      <c r="AY48" s="5"/>
      <c r="AZ48" s="5"/>
    </row>
    <row r="49" spans="4:52" s="14" customFormat="1">
      <c r="D49" s="5"/>
      <c r="E49" s="5"/>
      <c r="F49" s="5"/>
      <c r="G49" s="5"/>
      <c r="H49" s="5"/>
      <c r="I49" s="5"/>
      <c r="J49" s="5"/>
      <c r="K49" s="5"/>
      <c r="L49" s="5"/>
      <c r="M49" s="5"/>
      <c r="N49" s="5"/>
      <c r="O49" s="5"/>
      <c r="P49" s="5"/>
      <c r="Q49" s="5"/>
      <c r="R49" s="5"/>
      <c r="S49" s="5"/>
      <c r="T49" s="5"/>
      <c r="AC49" s="217"/>
      <c r="AK49" s="5"/>
      <c r="AL49" s="5"/>
      <c r="AM49" s="5"/>
      <c r="AN49" s="5"/>
      <c r="AO49" s="5"/>
      <c r="AP49" s="5"/>
      <c r="AQ49" s="5"/>
      <c r="AR49" s="5"/>
      <c r="AS49" s="5"/>
      <c r="AT49" s="5"/>
      <c r="AU49" s="5"/>
      <c r="AV49" s="5"/>
      <c r="AW49" s="5"/>
      <c r="AX49" s="5"/>
      <c r="AY49" s="5"/>
      <c r="AZ49" s="5"/>
    </row>
    <row r="50" spans="4:52" s="14" customFormat="1">
      <c r="D50" s="5"/>
      <c r="E50" s="5"/>
      <c r="F50" s="5"/>
      <c r="G50" s="5"/>
      <c r="H50" s="5"/>
      <c r="I50" s="5"/>
      <c r="J50" s="5"/>
      <c r="K50" s="5"/>
      <c r="L50" s="5"/>
      <c r="M50" s="5"/>
      <c r="N50" s="5"/>
      <c r="O50" s="5"/>
      <c r="P50" s="5"/>
      <c r="Q50" s="5"/>
      <c r="R50" s="5"/>
      <c r="S50" s="5"/>
      <c r="T50" s="5"/>
      <c r="AC50" s="217"/>
      <c r="AK50" s="5"/>
      <c r="AL50" s="5"/>
      <c r="AM50" s="5"/>
      <c r="AN50" s="5"/>
      <c r="AO50" s="5"/>
      <c r="AP50" s="5"/>
      <c r="AQ50" s="5"/>
      <c r="AR50" s="5"/>
      <c r="AS50" s="5"/>
      <c r="AT50" s="5"/>
      <c r="AU50" s="5"/>
      <c r="AV50" s="5"/>
      <c r="AW50" s="5"/>
      <c r="AX50" s="5"/>
      <c r="AY50" s="5"/>
      <c r="AZ50" s="5"/>
    </row>
  </sheetData>
  <mergeCells count="52">
    <mergeCell ref="J40:K40"/>
    <mergeCell ref="J41:K41"/>
    <mergeCell ref="F38:G38"/>
    <mergeCell ref="F39:G39"/>
    <mergeCell ref="F40:G40"/>
    <mergeCell ref="F41:G41"/>
    <mergeCell ref="H38:I38"/>
    <mergeCell ref="H39:I39"/>
    <mergeCell ref="H40:I40"/>
    <mergeCell ref="H41:I41"/>
    <mergeCell ref="J38:K38"/>
    <mergeCell ref="J39:K39"/>
    <mergeCell ref="J36:K36"/>
    <mergeCell ref="J37:K37"/>
    <mergeCell ref="F35:G35"/>
    <mergeCell ref="F36:G36"/>
    <mergeCell ref="F37:G37"/>
    <mergeCell ref="H35:I35"/>
    <mergeCell ref="H36:I36"/>
    <mergeCell ref="H37:I37"/>
    <mergeCell ref="J34:K34"/>
    <mergeCell ref="F32:G32"/>
    <mergeCell ref="F33:G33"/>
    <mergeCell ref="F34:G34"/>
    <mergeCell ref="J35:K35"/>
    <mergeCell ref="H32:I32"/>
    <mergeCell ref="H33:I33"/>
    <mergeCell ref="H34:I34"/>
    <mergeCell ref="G25:H25"/>
    <mergeCell ref="D20:I20"/>
    <mergeCell ref="L20:M20"/>
    <mergeCell ref="J32:K32"/>
    <mergeCell ref="J33:K33"/>
    <mergeCell ref="J31:K31"/>
    <mergeCell ref="F31:G31"/>
    <mergeCell ref="H31:I31"/>
    <mergeCell ref="B28:N28"/>
    <mergeCell ref="B22:N22"/>
    <mergeCell ref="G24:I24"/>
    <mergeCell ref="B7:N7"/>
    <mergeCell ref="B11:N11"/>
    <mergeCell ref="D16:I16"/>
    <mergeCell ref="D17:I17"/>
    <mergeCell ref="D19:I19"/>
    <mergeCell ref="L16:M16"/>
    <mergeCell ref="J14:M14"/>
    <mergeCell ref="L18:M18"/>
    <mergeCell ref="L19:M19"/>
    <mergeCell ref="L17:M17"/>
    <mergeCell ref="D15:I15"/>
    <mergeCell ref="L15:M15"/>
    <mergeCell ref="E9:M9"/>
  </mergeCells>
  <dataValidations count="2">
    <dataValidation allowBlank="1" showErrorMessage="1" prompt="Inserir unidade" sqref="K20:K21" xr:uid="{00000000-0002-0000-0A00-000000000000}"/>
    <dataValidation type="list" allowBlank="1" showInputMessage="1" showErrorMessage="1" sqref="J14:M14" xr:uid="{00000000-0002-0000-0A00-000001000000}">
      <formula1>Efluente</formula1>
    </dataValidation>
  </dataValidations>
  <hyperlinks>
    <hyperlink ref="L16" location="Apoio_Efluentes!A1" display="Para padrões de lançamento de efluentes, clique aqui." xr:uid="{00000000-0004-0000-0A00-000000000000}"/>
  </hyperlinks>
  <pageMargins left="0.511811024" right="0.511811024" top="0.78740157499999996" bottom="0.78740157499999996" header="0.31496062000000002" footer="0.31496062000000002"/>
  <pageSetup paperSize="9" orientation="portrait"/>
  <drawing r:id="rId1"/>
  <legacy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499984740745262"/>
  </sheetPr>
  <dimension ref="A1:M72"/>
  <sheetViews>
    <sheetView showGridLines="0" zoomScale="90" zoomScaleNormal="90" workbookViewId="0">
      <selection activeCell="E20" sqref="E20"/>
    </sheetView>
  </sheetViews>
  <sheetFormatPr defaultColWidth="0" defaultRowHeight="14.4" zeroHeight="1"/>
  <cols>
    <col min="1" max="1" width="57" style="5" bestFit="1" customWidth="1"/>
    <col min="2" max="2" width="58.88671875" style="5" customWidth="1"/>
    <col min="3" max="7" width="17.44140625" style="5" customWidth="1"/>
    <col min="8" max="9" width="8.88671875" style="5" hidden="1" customWidth="1"/>
    <col min="10" max="10" width="12.88671875" style="5" hidden="1" customWidth="1"/>
    <col min="11" max="11" width="18.33203125" style="5" hidden="1" customWidth="1"/>
    <col min="12" max="12" width="12.88671875" style="5" hidden="1" customWidth="1"/>
    <col min="13" max="13" width="18.33203125" style="5" hidden="1" customWidth="1"/>
    <col min="14" max="14" width="0" style="5" hidden="1" customWidth="1"/>
    <col min="15" max="16384" width="0" style="5" hidden="1"/>
  </cols>
  <sheetData>
    <row r="1" spans="1:11"/>
    <row r="2" spans="1:11"/>
    <row r="3" spans="1:11"/>
    <row r="4" spans="1:11"/>
    <row r="5" spans="1:11"/>
    <row r="6" spans="1:11"/>
    <row r="7" spans="1:11"/>
    <row r="8" spans="1:11" s="459" customFormat="1" ht="15.6">
      <c r="A8" s="1823" t="s">
        <v>1136</v>
      </c>
      <c r="B8" s="1823"/>
      <c r="C8" s="1823"/>
      <c r="D8" s="1823"/>
      <c r="E8" s="1823"/>
      <c r="F8" s="1823"/>
      <c r="G8" s="1823"/>
      <c r="H8" s="1823"/>
      <c r="I8" s="1823"/>
      <c r="J8" s="1823"/>
      <c r="K8" s="1823"/>
    </row>
    <row r="9" spans="1:11" ht="15.6">
      <c r="A9" s="1786" t="s">
        <v>412</v>
      </c>
      <c r="B9" s="1786"/>
      <c r="C9" s="1786"/>
      <c r="D9" s="1786"/>
      <c r="E9" s="1786"/>
      <c r="F9" s="1786"/>
      <c r="G9" s="1786"/>
    </row>
    <row r="10" spans="1:11" s="9" customFormat="1" ht="15.6">
      <c r="A10" s="1193"/>
      <c r="B10" s="1193"/>
      <c r="C10" s="1193"/>
      <c r="D10" s="1193"/>
      <c r="E10" s="1193"/>
      <c r="F10" s="1193"/>
      <c r="G10" s="1193"/>
    </row>
    <row r="11" spans="1:11" s="9" customFormat="1" ht="15.6">
      <c r="A11" s="1193"/>
      <c r="B11" s="1193"/>
      <c r="C11" s="1193"/>
      <c r="D11" s="1193"/>
      <c r="E11" s="1193"/>
      <c r="F11" s="1193"/>
      <c r="G11" s="1193"/>
    </row>
    <row r="12" spans="1:11" s="9" customFormat="1" ht="15.6">
      <c r="A12" s="1193"/>
      <c r="B12" s="1193"/>
      <c r="C12" s="1193"/>
      <c r="D12" s="1193"/>
      <c r="E12" s="1193"/>
      <c r="F12" s="1193"/>
      <c r="G12" s="1193"/>
    </row>
    <row r="13" spans="1:11" s="9" customFormat="1" ht="15.6">
      <c r="A13" s="1193"/>
      <c r="B13" s="1193"/>
      <c r="C13" s="1193"/>
      <c r="D13" s="1193"/>
      <c r="E13" s="1193"/>
      <c r="F13" s="1193"/>
      <c r="G13" s="1193"/>
    </row>
    <row r="14" spans="1:11" ht="15.75" customHeight="1">
      <c r="A14" s="1822" t="s">
        <v>476</v>
      </c>
      <c r="B14" s="1822"/>
      <c r="C14" s="1822"/>
      <c r="D14" s="1170"/>
      <c r="E14" s="1170"/>
      <c r="F14" s="1170"/>
      <c r="G14" s="1170"/>
    </row>
    <row r="15" spans="1:11" s="9" customFormat="1">
      <c r="A15" s="1100" t="s">
        <v>23</v>
      </c>
      <c r="B15" s="1100" t="s">
        <v>475</v>
      </c>
      <c r="C15" s="1100" t="s">
        <v>24</v>
      </c>
      <c r="D15" s="1195"/>
      <c r="E15" s="1195"/>
      <c r="F15" s="1195"/>
      <c r="G15" s="1195"/>
    </row>
    <row r="16" spans="1:11" s="9" customFormat="1">
      <c r="A16" s="452" t="s">
        <v>12</v>
      </c>
      <c r="B16" s="453"/>
      <c r="C16" s="453"/>
      <c r="D16" s="1196"/>
      <c r="E16" s="1196"/>
      <c r="F16" s="1196"/>
      <c r="G16" s="1196"/>
    </row>
    <row r="17" spans="1:7" s="9" customFormat="1">
      <c r="A17" s="454" t="s">
        <v>35</v>
      </c>
      <c r="B17" s="455" t="s">
        <v>466</v>
      </c>
      <c r="C17" s="456" t="s">
        <v>655</v>
      </c>
      <c r="D17" s="1173"/>
      <c r="E17" s="1173"/>
      <c r="F17" s="1173"/>
      <c r="G17" s="1173"/>
    </row>
    <row r="18" spans="1:7" ht="28.8">
      <c r="A18" s="454" t="s">
        <v>22</v>
      </c>
      <c r="B18" s="455" t="s">
        <v>467</v>
      </c>
      <c r="C18" s="456" t="s">
        <v>1218</v>
      </c>
      <c r="D18" s="7"/>
      <c r="E18" s="7"/>
      <c r="F18" s="7"/>
      <c r="G18" s="7"/>
    </row>
    <row r="19" spans="1:7" ht="43.2">
      <c r="A19" s="454" t="s">
        <v>468</v>
      </c>
      <c r="B19" s="455" t="s">
        <v>469</v>
      </c>
      <c r="C19" s="456" t="s">
        <v>1219</v>
      </c>
      <c r="D19" s="7"/>
      <c r="E19" s="7"/>
      <c r="F19" s="7"/>
      <c r="G19" s="7"/>
    </row>
    <row r="20" spans="1:7" ht="43.2">
      <c r="A20" s="454" t="s">
        <v>470</v>
      </c>
      <c r="B20" s="455" t="s">
        <v>1269</v>
      </c>
      <c r="C20" s="456" t="s">
        <v>655</v>
      </c>
      <c r="D20" s="7"/>
      <c r="E20" s="7"/>
      <c r="F20" s="7"/>
      <c r="G20" s="7"/>
    </row>
    <row r="21" spans="1:7" ht="43.2">
      <c r="A21" s="415" t="s">
        <v>479</v>
      </c>
      <c r="B21" s="455" t="s">
        <v>480</v>
      </c>
      <c r="C21" s="456" t="s">
        <v>1141</v>
      </c>
      <c r="D21" s="7"/>
      <c r="E21" s="7"/>
      <c r="F21" s="7"/>
      <c r="G21" s="7"/>
    </row>
    <row r="22" spans="1:7">
      <c r="A22" s="454" t="s">
        <v>472</v>
      </c>
      <c r="B22" s="455" t="s">
        <v>471</v>
      </c>
      <c r="C22" s="456" t="s">
        <v>655</v>
      </c>
      <c r="D22" s="7"/>
      <c r="E22" s="7"/>
      <c r="F22" s="7"/>
      <c r="G22" s="7"/>
    </row>
    <row r="23" spans="1:7" ht="57.6">
      <c r="A23" s="454" t="s">
        <v>473</v>
      </c>
      <c r="B23" s="455" t="s">
        <v>474</v>
      </c>
      <c r="C23" s="409" t="s">
        <v>1138</v>
      </c>
      <c r="D23" s="1172"/>
      <c r="E23" s="1172"/>
      <c r="F23" s="1172"/>
      <c r="G23" s="1172"/>
    </row>
    <row r="24" spans="1:7">
      <c r="A24" s="457" t="s">
        <v>110</v>
      </c>
      <c r="B24" s="457" t="s">
        <v>413</v>
      </c>
      <c r="C24" s="458"/>
      <c r="D24" s="1194"/>
      <c r="E24" s="1194"/>
      <c r="F24" s="1194"/>
      <c r="G24" s="1194"/>
    </row>
    <row r="25" spans="1:7">
      <c r="A25" s="456" t="s">
        <v>414</v>
      </c>
      <c r="B25" s="456" t="s">
        <v>415</v>
      </c>
      <c r="C25" s="456" t="s">
        <v>1220</v>
      </c>
      <c r="D25" s="7"/>
      <c r="E25" s="7"/>
      <c r="F25" s="7"/>
      <c r="G25" s="7"/>
    </row>
    <row r="26" spans="1:7">
      <c r="A26" s="456" t="s">
        <v>416</v>
      </c>
      <c r="B26" s="456" t="s">
        <v>417</v>
      </c>
      <c r="C26" s="456" t="s">
        <v>1178</v>
      </c>
      <c r="D26" s="7"/>
      <c r="E26" s="7"/>
      <c r="F26" s="7"/>
      <c r="G26" s="7"/>
    </row>
    <row r="27" spans="1:7">
      <c r="A27" s="456" t="s">
        <v>418</v>
      </c>
      <c r="B27" s="456" t="s">
        <v>419</v>
      </c>
      <c r="C27" s="456" t="s">
        <v>1193</v>
      </c>
      <c r="D27" s="7"/>
      <c r="E27" s="7"/>
      <c r="F27" s="7"/>
      <c r="G27" s="7"/>
    </row>
    <row r="28" spans="1:7">
      <c r="A28" s="456" t="s">
        <v>420</v>
      </c>
      <c r="B28" s="456" t="s">
        <v>421</v>
      </c>
      <c r="C28" s="456" t="s">
        <v>1194</v>
      </c>
      <c r="D28" s="7"/>
      <c r="E28" s="7"/>
      <c r="F28" s="7"/>
      <c r="G28" s="7"/>
    </row>
    <row r="29" spans="1:7">
      <c r="A29" s="456" t="s">
        <v>422</v>
      </c>
      <c r="B29" s="456" t="s">
        <v>423</v>
      </c>
      <c r="C29" s="456" t="s">
        <v>1195</v>
      </c>
      <c r="D29" s="7"/>
      <c r="E29" s="7"/>
      <c r="F29" s="7"/>
      <c r="G29" s="7"/>
    </row>
    <row r="30" spans="1:7">
      <c r="A30" s="456" t="s">
        <v>424</v>
      </c>
      <c r="B30" s="456" t="s">
        <v>425</v>
      </c>
      <c r="C30" s="456" t="s">
        <v>1196</v>
      </c>
      <c r="D30" s="7"/>
      <c r="E30" s="7"/>
      <c r="F30" s="7"/>
      <c r="G30" s="7"/>
    </row>
    <row r="31" spans="1:7">
      <c r="A31" s="456" t="s">
        <v>426</v>
      </c>
      <c r="B31" s="456" t="s">
        <v>427</v>
      </c>
      <c r="C31" s="456" t="s">
        <v>1196</v>
      </c>
      <c r="D31" s="7"/>
      <c r="E31" s="7"/>
      <c r="F31" s="7"/>
      <c r="G31" s="7"/>
    </row>
    <row r="32" spans="1:7">
      <c r="A32" s="456" t="s">
        <v>428</v>
      </c>
      <c r="B32" s="456" t="s">
        <v>429</v>
      </c>
      <c r="C32" s="456" t="s">
        <v>1198</v>
      </c>
      <c r="D32" s="7"/>
      <c r="E32" s="7"/>
      <c r="F32" s="7"/>
      <c r="G32" s="7"/>
    </row>
    <row r="33" spans="1:7">
      <c r="A33" s="456" t="s">
        <v>430</v>
      </c>
      <c r="B33" s="456" t="s">
        <v>431</v>
      </c>
      <c r="C33" s="456" t="s">
        <v>1221</v>
      </c>
      <c r="D33" s="7"/>
      <c r="E33" s="7"/>
      <c r="F33" s="7"/>
      <c r="G33" s="7"/>
    </row>
    <row r="34" spans="1:7">
      <c r="A34" s="456" t="s">
        <v>432</v>
      </c>
      <c r="B34" s="456" t="s">
        <v>433</v>
      </c>
      <c r="C34" s="456" t="s">
        <v>1222</v>
      </c>
      <c r="D34" s="7"/>
      <c r="E34" s="7"/>
      <c r="F34" s="7"/>
      <c r="G34" s="7"/>
    </row>
    <row r="35" spans="1:7">
      <c r="A35" s="456" t="s">
        <v>434</v>
      </c>
      <c r="B35" s="456" t="s">
        <v>435</v>
      </c>
      <c r="C35" s="456" t="s">
        <v>1223</v>
      </c>
      <c r="D35" s="7"/>
      <c r="E35" s="7"/>
      <c r="F35" s="7"/>
      <c r="G35" s="7"/>
    </row>
    <row r="36" spans="1:7">
      <c r="A36" s="456" t="s">
        <v>436</v>
      </c>
      <c r="B36" s="456" t="s">
        <v>437</v>
      </c>
      <c r="C36" s="456" t="s">
        <v>1200</v>
      </c>
      <c r="D36" s="7"/>
      <c r="E36" s="7"/>
      <c r="F36" s="7"/>
      <c r="G36" s="7"/>
    </row>
    <row r="37" spans="1:7">
      <c r="A37" s="456" t="s">
        <v>439</v>
      </c>
      <c r="B37" s="456" t="s">
        <v>440</v>
      </c>
      <c r="C37" s="456" t="s">
        <v>1224</v>
      </c>
      <c r="D37" s="7"/>
      <c r="E37" s="7"/>
      <c r="F37" s="7"/>
      <c r="G37" s="7"/>
    </row>
    <row r="38" spans="1:7">
      <c r="A38" s="456" t="s">
        <v>441</v>
      </c>
      <c r="B38" s="456" t="s">
        <v>442</v>
      </c>
      <c r="C38" s="456" t="s">
        <v>1203</v>
      </c>
      <c r="D38" s="7"/>
      <c r="E38" s="7"/>
      <c r="F38" s="7"/>
      <c r="G38" s="7"/>
    </row>
    <row r="39" spans="1:7">
      <c r="A39" s="456" t="s">
        <v>443</v>
      </c>
      <c r="B39" s="456" t="s">
        <v>444</v>
      </c>
      <c r="C39" s="456" t="s">
        <v>1204</v>
      </c>
      <c r="D39" s="7"/>
      <c r="E39" s="7"/>
      <c r="F39" s="7"/>
      <c r="G39" s="7"/>
    </row>
    <row r="40" spans="1:7">
      <c r="A40" s="456" t="s">
        <v>90</v>
      </c>
      <c r="B40" s="456" t="s">
        <v>445</v>
      </c>
      <c r="C40" s="456" t="s">
        <v>1205</v>
      </c>
      <c r="D40" s="7"/>
      <c r="E40" s="7"/>
      <c r="F40" s="7"/>
      <c r="G40" s="7"/>
    </row>
    <row r="41" spans="1:7">
      <c r="A41" s="456" t="s">
        <v>78</v>
      </c>
      <c r="B41" s="456" t="s">
        <v>446</v>
      </c>
      <c r="C41" s="456" t="s">
        <v>1206</v>
      </c>
      <c r="D41" s="7"/>
      <c r="E41" s="7"/>
      <c r="F41" s="7"/>
      <c r="G41" s="7"/>
    </row>
    <row r="42" spans="1:7">
      <c r="A42" s="456" t="s">
        <v>447</v>
      </c>
      <c r="B42" s="456" t="s">
        <v>448</v>
      </c>
      <c r="C42" s="456" t="s">
        <v>1207</v>
      </c>
      <c r="D42" s="7"/>
      <c r="E42" s="7"/>
      <c r="F42" s="7"/>
      <c r="G42" s="7"/>
    </row>
    <row r="43" spans="1:7">
      <c r="A43" s="456" t="s">
        <v>449</v>
      </c>
      <c r="B43" s="456" t="s">
        <v>450</v>
      </c>
      <c r="C43" s="456" t="s">
        <v>1208</v>
      </c>
      <c r="D43" s="7"/>
      <c r="E43" s="7"/>
      <c r="F43" s="7"/>
      <c r="G43" s="7"/>
    </row>
    <row r="44" spans="1:7">
      <c r="A44" s="456" t="s">
        <v>451</v>
      </c>
      <c r="B44" s="456" t="s">
        <v>452</v>
      </c>
      <c r="C44" s="456" t="s">
        <v>1210</v>
      </c>
      <c r="D44" s="7"/>
      <c r="E44" s="7"/>
      <c r="F44" s="7"/>
      <c r="G44" s="7"/>
    </row>
    <row r="45" spans="1:7">
      <c r="A45" s="456" t="s">
        <v>453</v>
      </c>
      <c r="B45" s="456" t="s">
        <v>454</v>
      </c>
      <c r="C45" s="456" t="s">
        <v>1213</v>
      </c>
      <c r="D45" s="7"/>
      <c r="E45" s="7"/>
      <c r="F45" s="7"/>
      <c r="G45" s="7"/>
    </row>
    <row r="46" spans="1:7">
      <c r="A46" s="457" t="s">
        <v>455</v>
      </c>
      <c r="B46" s="457" t="s">
        <v>413</v>
      </c>
      <c r="C46" s="458"/>
      <c r="D46" s="1194"/>
      <c r="E46" s="1194"/>
      <c r="F46" s="1194"/>
      <c r="G46" s="1194"/>
    </row>
    <row r="47" spans="1:7">
      <c r="A47" s="456" t="s">
        <v>333</v>
      </c>
      <c r="B47" s="456" t="s">
        <v>456</v>
      </c>
      <c r="C47" s="456" t="s">
        <v>1141</v>
      </c>
      <c r="D47" s="7"/>
      <c r="E47" s="7"/>
      <c r="F47" s="7"/>
      <c r="G47" s="7"/>
    </row>
    <row r="48" spans="1:7">
      <c r="A48" s="456" t="s">
        <v>336</v>
      </c>
      <c r="B48" s="456" t="s">
        <v>457</v>
      </c>
      <c r="C48" s="456" t="s">
        <v>1141</v>
      </c>
      <c r="D48" s="7"/>
      <c r="E48" s="7"/>
      <c r="F48" s="7"/>
      <c r="G48" s="7"/>
    </row>
    <row r="49" spans="1:7">
      <c r="A49" s="456" t="s">
        <v>458</v>
      </c>
      <c r="B49" s="456" t="s">
        <v>457</v>
      </c>
      <c r="C49" s="456" t="s">
        <v>1141</v>
      </c>
      <c r="D49" s="7"/>
      <c r="E49" s="7"/>
      <c r="F49" s="7"/>
      <c r="G49" s="7"/>
    </row>
    <row r="50" spans="1:7">
      <c r="A50" s="456" t="s">
        <v>357</v>
      </c>
      <c r="B50" s="456" t="s">
        <v>459</v>
      </c>
      <c r="C50" s="456" t="s">
        <v>1141</v>
      </c>
      <c r="D50" s="7"/>
      <c r="E50" s="7"/>
      <c r="F50" s="7"/>
      <c r="G50" s="7"/>
    </row>
    <row r="51" spans="1:7">
      <c r="A51" s="456" t="s">
        <v>358</v>
      </c>
      <c r="B51" s="456" t="s">
        <v>460</v>
      </c>
      <c r="C51" s="456" t="s">
        <v>1141</v>
      </c>
      <c r="D51" s="7"/>
      <c r="E51" s="7"/>
      <c r="F51" s="7"/>
      <c r="G51" s="7"/>
    </row>
    <row r="52" spans="1:7">
      <c r="A52" s="456" t="s">
        <v>461</v>
      </c>
      <c r="B52" s="456" t="s">
        <v>462</v>
      </c>
      <c r="C52" s="456" t="s">
        <v>1225</v>
      </c>
      <c r="D52" s="7"/>
      <c r="E52" s="7"/>
      <c r="F52" s="7"/>
      <c r="G52" s="7"/>
    </row>
    <row r="53" spans="1:7">
      <c r="A53" s="456" t="s">
        <v>352</v>
      </c>
      <c r="B53" s="456" t="s">
        <v>457</v>
      </c>
      <c r="C53" s="456" t="s">
        <v>1141</v>
      </c>
      <c r="D53" s="7"/>
      <c r="E53" s="7"/>
      <c r="F53" s="7"/>
      <c r="G53" s="7"/>
    </row>
    <row r="54" spans="1:7">
      <c r="A54" s="456" t="s">
        <v>463</v>
      </c>
      <c r="B54" s="456" t="s">
        <v>457</v>
      </c>
      <c r="C54" s="456" t="s">
        <v>1141</v>
      </c>
      <c r="D54" s="7"/>
      <c r="E54" s="7"/>
      <c r="F54" s="7"/>
      <c r="G54" s="7"/>
    </row>
    <row r="55" spans="1:7">
      <c r="A55" s="456" t="s">
        <v>364</v>
      </c>
      <c r="B55" s="456" t="s">
        <v>456</v>
      </c>
      <c r="C55" s="456" t="s">
        <v>1141</v>
      </c>
      <c r="D55" s="7"/>
      <c r="E55" s="7"/>
      <c r="F55" s="7"/>
      <c r="G55" s="7"/>
    </row>
    <row r="56" spans="1:7">
      <c r="A56" s="456" t="s">
        <v>464</v>
      </c>
      <c r="B56" s="456" t="s">
        <v>465</v>
      </c>
      <c r="C56" s="456" t="s">
        <v>1141</v>
      </c>
      <c r="D56" s="7"/>
      <c r="E56" s="7"/>
      <c r="F56" s="7"/>
      <c r="G56" s="7"/>
    </row>
    <row r="57" spans="1:7"/>
    <row r="58" spans="1:7"/>
    <row r="59" spans="1:7"/>
    <row r="60" spans="1:7"/>
    <row r="61" spans="1:7"/>
    <row r="62" spans="1:7"/>
    <row r="63" spans="1:7"/>
    <row r="64" spans="1:7"/>
    <row r="65"/>
    <row r="66"/>
    <row r="67"/>
    <row r="68"/>
    <row r="69"/>
    <row r="70"/>
    <row r="71"/>
    <row r="72"/>
  </sheetData>
  <sheetProtection sheet="1" objects="1" scenarios="1" selectLockedCells="1"/>
  <mergeCells count="3">
    <mergeCell ref="A14:C14"/>
    <mergeCell ref="A8:K8"/>
    <mergeCell ref="A9:G9"/>
  </mergeCells>
  <pageMargins left="0.511811024" right="0.511811024" top="0.78740157499999996" bottom="0.78740157499999996" header="0.31496062000000002" footer="0.31496062000000002"/>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rgb="FF003978"/>
  </sheetPr>
  <dimension ref="A1:II359"/>
  <sheetViews>
    <sheetView showGridLines="0" topLeftCell="A94" zoomScale="90" zoomScaleNormal="90" workbookViewId="0">
      <selection activeCell="J102" sqref="J102"/>
    </sheetView>
  </sheetViews>
  <sheetFormatPr defaultColWidth="0" defaultRowHeight="13.8" zeroHeight="1" outlineLevelRow="1"/>
  <cols>
    <col min="1" max="1" width="5.33203125" style="460" customWidth="1"/>
    <col min="2" max="2" width="6.109375" style="460" customWidth="1"/>
    <col min="3" max="3" width="10" style="460" customWidth="1"/>
    <col min="4" max="8" width="12.6640625" style="460" customWidth="1"/>
    <col min="9" max="9" width="12.33203125" style="460" customWidth="1"/>
    <col min="10" max="10" width="25.6640625" style="460" customWidth="1"/>
    <col min="11" max="11" width="11.44140625" style="460" customWidth="1"/>
    <col min="12" max="12" width="17.44140625" style="460" customWidth="1"/>
    <col min="13" max="13" width="11.6640625" style="460" customWidth="1"/>
    <col min="14" max="14" width="11.88671875" style="460" customWidth="1"/>
    <col min="15" max="15" width="6" style="460" customWidth="1"/>
    <col min="16" max="25" width="10.6640625" style="460" hidden="1" customWidth="1"/>
    <col min="26" max="239" width="8.88671875" style="460" hidden="1" customWidth="1"/>
    <col min="240" max="240" width="26.109375" style="460" hidden="1" customWidth="1"/>
    <col min="241" max="241" width="11.6640625" style="460" hidden="1" customWidth="1"/>
    <col min="242" max="242" width="36.44140625" style="460" hidden="1" customWidth="1"/>
    <col min="243" max="243" width="16.44140625" style="460" hidden="1" customWidth="1"/>
    <col min="244" max="16384" width="10.6640625" style="460" hidden="1"/>
  </cols>
  <sheetData>
    <row r="1" spans="1:15"/>
    <row r="2" spans="1:15"/>
    <row r="3" spans="1:15"/>
    <row r="4" spans="1:15"/>
    <row r="5" spans="1:15"/>
    <row r="6" spans="1:15"/>
    <row r="7" spans="1:15" ht="14.4" thickBot="1">
      <c r="B7" s="559"/>
      <c r="C7" s="559"/>
      <c r="D7" s="559"/>
      <c r="E7" s="559"/>
      <c r="F7" s="559"/>
      <c r="G7" s="559"/>
      <c r="H7" s="559"/>
      <c r="I7" s="559"/>
      <c r="J7" s="559"/>
      <c r="K7" s="559"/>
      <c r="L7" s="559"/>
      <c r="M7" s="559"/>
      <c r="N7" s="559"/>
    </row>
    <row r="8" spans="1:15" ht="18.75" customHeight="1" thickTop="1">
      <c r="A8" s="966"/>
      <c r="B8" s="1678" t="s">
        <v>1060</v>
      </c>
      <c r="C8" s="1679"/>
      <c r="D8" s="1679"/>
      <c r="E8" s="1679"/>
      <c r="F8" s="1679"/>
      <c r="G8" s="1679"/>
      <c r="H8" s="1679"/>
      <c r="I8" s="1679"/>
      <c r="J8" s="1679"/>
      <c r="K8" s="1679"/>
      <c r="L8" s="1679"/>
      <c r="M8" s="1679"/>
      <c r="N8" s="1679"/>
      <c r="O8" s="5"/>
    </row>
    <row r="9" spans="1:15" s="5" customFormat="1" ht="15" customHeight="1">
      <c r="B9" s="6"/>
      <c r="C9" s="71"/>
      <c r="D9" s="461"/>
      <c r="E9" s="461"/>
      <c r="F9" s="461"/>
      <c r="G9" s="7"/>
      <c r="H9" s="7"/>
      <c r="I9" s="7"/>
      <c r="J9" s="7"/>
      <c r="K9" s="7"/>
      <c r="L9" s="7"/>
      <c r="M9" s="7"/>
      <c r="N9" s="8"/>
    </row>
    <row r="10" spans="1:15" s="5" customFormat="1" ht="15" customHeight="1">
      <c r="B10" s="6"/>
      <c r="C10" s="71"/>
      <c r="D10" s="461"/>
      <c r="E10" s="1197" t="s">
        <v>1522</v>
      </c>
      <c r="F10" s="461"/>
      <c r="G10" s="7"/>
      <c r="H10" s="7"/>
      <c r="I10" s="7"/>
      <c r="J10" s="7"/>
      <c r="K10" s="7"/>
      <c r="L10" s="7"/>
      <c r="M10" s="7"/>
      <c r="N10" s="8"/>
    </row>
    <row r="11" spans="1:15" s="5" customFormat="1" ht="33" customHeight="1">
      <c r="B11" s="6"/>
      <c r="D11" s="1169"/>
      <c r="E11" s="1862" t="s">
        <v>1068</v>
      </c>
      <c r="F11" s="1862"/>
      <c r="G11" s="1862"/>
      <c r="H11" s="1862"/>
      <c r="I11" s="1862"/>
      <c r="J11" s="1862"/>
      <c r="K11" s="1862"/>
      <c r="L11" s="1862"/>
      <c r="M11" s="342"/>
      <c r="N11" s="462"/>
    </row>
    <row r="12" spans="1:15" s="5" customFormat="1" ht="14.4">
      <c r="B12" s="6"/>
      <c r="D12" s="1169"/>
      <c r="E12" s="1198"/>
      <c r="F12" s="1198"/>
      <c r="G12" s="1198"/>
      <c r="H12" s="1198"/>
      <c r="I12" s="1198"/>
      <c r="J12" s="1198"/>
      <c r="K12" s="1198"/>
      <c r="L12" s="1198"/>
      <c r="M12" s="1169"/>
      <c r="N12" s="462"/>
    </row>
    <row r="13" spans="1:15" s="5" customFormat="1" ht="13.5" customHeight="1">
      <c r="B13" s="6"/>
      <c r="C13" s="205"/>
      <c r="D13" s="205"/>
      <c r="E13" s="205"/>
      <c r="F13" s="205"/>
      <c r="G13" s="205"/>
      <c r="H13" s="205"/>
      <c r="I13" s="205"/>
      <c r="J13" s="205"/>
      <c r="K13" s="205"/>
      <c r="L13" s="342"/>
      <c r="M13" s="342"/>
      <c r="N13" s="462"/>
    </row>
    <row r="14" spans="1:15" s="5" customFormat="1" ht="18">
      <c r="B14" s="6"/>
      <c r="C14" s="1102" t="s">
        <v>1131</v>
      </c>
      <c r="D14" s="461"/>
      <c r="E14" s="461"/>
      <c r="F14" s="461"/>
      <c r="G14" s="7"/>
      <c r="H14" s="7"/>
      <c r="I14" s="7"/>
      <c r="J14" s="7"/>
      <c r="K14" s="7"/>
      <c r="L14" s="7"/>
      <c r="M14" s="7"/>
      <c r="N14" s="8"/>
    </row>
    <row r="15" spans="1:15">
      <c r="B15" s="463"/>
      <c r="C15" s="464"/>
      <c r="D15" s="464"/>
      <c r="E15" s="464"/>
      <c r="F15" s="464"/>
      <c r="G15" s="464"/>
      <c r="H15" s="464"/>
      <c r="I15" s="464"/>
      <c r="J15" s="464"/>
      <c r="K15" s="464"/>
      <c r="L15" s="464"/>
      <c r="M15" s="464"/>
      <c r="N15" s="465"/>
    </row>
    <row r="16" spans="1:15" ht="15" customHeight="1" thickBot="1">
      <c r="A16" s="465"/>
      <c r="B16" s="1833" t="s">
        <v>488</v>
      </c>
      <c r="C16" s="1834"/>
      <c r="D16" s="1834"/>
      <c r="E16" s="1834"/>
      <c r="F16" s="1834"/>
      <c r="G16" s="1834"/>
      <c r="H16" s="1834"/>
      <c r="I16" s="1834"/>
      <c r="J16" s="1834"/>
      <c r="K16" s="1834"/>
      <c r="L16" s="1834"/>
      <c r="M16" s="1834"/>
      <c r="N16" s="1835"/>
    </row>
    <row r="17" spans="1:20" ht="15" customHeight="1" outlineLevel="1">
      <c r="A17" s="465"/>
      <c r="B17" s="464"/>
      <c r="C17" s="464"/>
      <c r="D17" s="1105" t="s">
        <v>499</v>
      </c>
      <c r="E17" s="466"/>
      <c r="F17" s="466"/>
      <c r="G17" s="466"/>
      <c r="H17" s="466"/>
      <c r="I17" s="466"/>
      <c r="J17" s="1103" t="s">
        <v>492</v>
      </c>
      <c r="K17" s="1103" t="s">
        <v>24</v>
      </c>
      <c r="L17" s="1104" t="s">
        <v>1558</v>
      </c>
      <c r="M17" s="464"/>
      <c r="N17" s="465"/>
    </row>
    <row r="18" spans="1:20" ht="15.6" outlineLevel="1">
      <c r="A18" s="465"/>
      <c r="B18" s="464"/>
      <c r="C18" s="464"/>
      <c r="D18" s="150" t="s">
        <v>1382</v>
      </c>
      <c r="E18" s="336"/>
      <c r="F18" s="336"/>
      <c r="G18" s="336"/>
      <c r="H18" s="336"/>
      <c r="I18" s="336"/>
      <c r="J18" s="467">
        <f>SUM(J19:J22)</f>
        <v>0</v>
      </c>
      <c r="K18" s="468" t="s">
        <v>1051</v>
      </c>
      <c r="L18" s="1858"/>
      <c r="M18" s="464"/>
      <c r="N18" s="465"/>
    </row>
    <row r="19" spans="1:20" ht="15" customHeight="1" outlineLevel="1">
      <c r="A19" s="465"/>
      <c r="B19" s="464"/>
      <c r="C19" s="464"/>
      <c r="D19" s="469"/>
      <c r="E19" s="470"/>
      <c r="F19" s="470"/>
      <c r="G19" s="470"/>
      <c r="H19" s="470"/>
      <c r="I19" s="471" t="s">
        <v>561</v>
      </c>
      <c r="J19" s="472"/>
      <c r="K19" s="468" t="s">
        <v>1051</v>
      </c>
      <c r="L19" s="1858"/>
      <c r="M19" s="464"/>
      <c r="N19" s="465"/>
    </row>
    <row r="20" spans="1:20" ht="14.4" outlineLevel="1">
      <c r="A20" s="465"/>
      <c r="B20" s="464"/>
      <c r="C20" s="464"/>
      <c r="D20" s="469"/>
      <c r="E20" s="470"/>
      <c r="F20" s="470"/>
      <c r="G20" s="470"/>
      <c r="H20" s="470"/>
      <c r="I20" s="471" t="s">
        <v>562</v>
      </c>
      <c r="J20" s="473"/>
      <c r="K20" s="67" t="s">
        <v>1051</v>
      </c>
      <c r="L20" s="1858"/>
      <c r="M20" s="464"/>
      <c r="N20" s="465"/>
    </row>
    <row r="21" spans="1:20" ht="14.4" outlineLevel="1">
      <c r="A21" s="465"/>
      <c r="B21" s="464"/>
      <c r="C21" s="464"/>
      <c r="D21" s="469"/>
      <c r="E21" s="470"/>
      <c r="F21" s="470"/>
      <c r="G21" s="470"/>
      <c r="H21" s="470"/>
      <c r="I21" s="471" t="s">
        <v>563</v>
      </c>
      <c r="J21" s="473"/>
      <c r="K21" s="67" t="s">
        <v>1051</v>
      </c>
      <c r="L21" s="1858"/>
      <c r="M21" s="464"/>
      <c r="N21" s="465"/>
    </row>
    <row r="22" spans="1:20" ht="14.4" outlineLevel="1">
      <c r="A22" s="465"/>
      <c r="B22" s="464"/>
      <c r="C22" s="464"/>
      <c r="D22" s="469"/>
      <c r="E22" s="470"/>
      <c r="F22" s="470"/>
      <c r="G22" s="470"/>
      <c r="H22" s="470"/>
      <c r="I22" s="471" t="s">
        <v>564</v>
      </c>
      <c r="J22" s="473"/>
      <c r="K22" s="67" t="s">
        <v>1051</v>
      </c>
      <c r="L22" s="1859"/>
      <c r="M22" s="464"/>
      <c r="N22" s="465"/>
    </row>
    <row r="23" spans="1:20" ht="31.5" customHeight="1" outlineLevel="1">
      <c r="A23" s="465"/>
      <c r="B23" s="464"/>
      <c r="C23" s="464"/>
      <c r="D23" s="1836" t="s">
        <v>1383</v>
      </c>
      <c r="E23" s="1837"/>
      <c r="F23" s="1837"/>
      <c r="G23" s="1837"/>
      <c r="H23" s="1837"/>
      <c r="I23" s="1837"/>
      <c r="J23" s="473"/>
      <c r="K23" s="435" t="s">
        <v>1384</v>
      </c>
      <c r="L23" s="474" t="s">
        <v>1132</v>
      </c>
      <c r="M23" s="464"/>
      <c r="N23" s="465"/>
    </row>
    <row r="24" spans="1:20" ht="14.4" outlineLevel="1">
      <c r="A24" s="465"/>
      <c r="B24" s="464"/>
      <c r="C24" s="464"/>
      <c r="D24" s="1842" t="s">
        <v>1691</v>
      </c>
      <c r="E24" s="1843"/>
      <c r="F24" s="1843"/>
      <c r="G24" s="1843"/>
      <c r="H24" s="1843"/>
      <c r="I24" s="1843"/>
      <c r="K24" s="476" t="str">
        <f>IF(J27="","","tCO2e/ha")</f>
        <v/>
      </c>
      <c r="L24" s="477"/>
      <c r="M24" s="464"/>
      <c r="N24" s="465"/>
    </row>
    <row r="25" spans="1:20" ht="14.4" outlineLevel="1">
      <c r="A25" s="465"/>
      <c r="B25" s="464"/>
      <c r="C25" s="464"/>
      <c r="D25" s="1831" t="s">
        <v>1083</v>
      </c>
      <c r="E25" s="1832"/>
      <c r="F25" s="1832"/>
      <c r="G25" s="1832"/>
      <c r="H25" s="1832"/>
      <c r="I25" s="1832"/>
      <c r="J25" s="284" t="s">
        <v>12</v>
      </c>
      <c r="K25" s="67"/>
      <c r="L25" s="478"/>
      <c r="M25" s="464"/>
      <c r="N25" s="465"/>
    </row>
    <row r="26" spans="1:20" ht="14.4" outlineLevel="1">
      <c r="A26" s="465"/>
      <c r="B26" s="464"/>
      <c r="C26" s="464"/>
      <c r="D26" s="1840" t="s">
        <v>1084</v>
      </c>
      <c r="E26" s="1841"/>
      <c r="F26" s="1841"/>
      <c r="G26" s="1841"/>
      <c r="H26" s="1841"/>
      <c r="I26" s="1841"/>
      <c r="J26" s="479" t="s">
        <v>12</v>
      </c>
      <c r="K26" s="67"/>
      <c r="L26" s="478"/>
      <c r="M26" s="464"/>
      <c r="N26" s="465"/>
    </row>
    <row r="27" spans="1:20" ht="15.6" outlineLevel="1">
      <c r="A27" s="465"/>
      <c r="B27" s="464"/>
      <c r="C27" s="464"/>
      <c r="D27" s="1512"/>
      <c r="E27" s="1513"/>
      <c r="F27" s="1513"/>
      <c r="G27" s="1513"/>
      <c r="H27" s="1513"/>
      <c r="I27" s="1514" t="s">
        <v>1655</v>
      </c>
      <c r="J27" s="475" t="str">
        <f>IFERROR(IF($J$23="",IF($J$25="Amazônia",VLOOKUP(J26,'Apoio_Regulação do clima global'!B15:F45,3,0),IF(J25="Caatinga",VLOOKUP(J26,'Apoio_Regulação do clima global'!B48:F72,3,0),IF(J25="Cerrado",VLOOKUP(J26,'Apoio_Regulação do clima global'!B75:F113,3,0),IF(J25="Mata Atlântica",VLOOKUP(J26,'Apoio_Regulação do clima global'!B116:F152,3,0),IF(J25="Pampa",VLOOKUP(J26,'Apoio_Regulação do clima global'!B155:F174,3,0),IF(J25="Pantanal",VLOOKUP(J26,'Apoio_Regulação do clima global'!B177:F192,3,0),""))))))*'Apoio_Regulação do clima global'!F197,""),"")</f>
        <v/>
      </c>
      <c r="K27" s="67"/>
      <c r="L27" s="478"/>
      <c r="M27" s="464"/>
      <c r="N27" s="465"/>
    </row>
    <row r="28" spans="1:20" ht="14.4" outlineLevel="1">
      <c r="A28" s="465"/>
      <c r="B28" s="464"/>
      <c r="C28" s="464"/>
      <c r="D28" s="1863" t="s">
        <v>1385</v>
      </c>
      <c r="E28" s="1864"/>
      <c r="F28" s="1864"/>
      <c r="G28" s="1864"/>
      <c r="H28" s="1864"/>
      <c r="I28" s="1864"/>
      <c r="J28" s="284" t="s">
        <v>12</v>
      </c>
      <c r="K28" s="67"/>
      <c r="L28" s="474"/>
      <c r="M28" s="464"/>
      <c r="N28" s="465"/>
    </row>
    <row r="29" spans="1:20" ht="14.4" outlineLevel="1">
      <c r="A29" s="465"/>
      <c r="B29" s="464"/>
      <c r="C29" s="464"/>
      <c r="D29" s="1863" t="s">
        <v>1085</v>
      </c>
      <c r="E29" s="1864"/>
      <c r="F29" s="1864"/>
      <c r="G29" s="1864"/>
      <c r="H29" s="1864"/>
      <c r="I29" s="1864"/>
      <c r="J29" s="480"/>
      <c r="K29" s="67" t="s">
        <v>565</v>
      </c>
      <c r="L29" s="478"/>
      <c r="M29" s="1455"/>
      <c r="N29" s="465"/>
    </row>
    <row r="30" spans="1:20" ht="14.4" outlineLevel="1">
      <c r="A30" s="465"/>
      <c r="B30" s="464"/>
      <c r="C30" s="464"/>
      <c r="D30" s="1824" t="s">
        <v>566</v>
      </c>
      <c r="E30" s="1825"/>
      <c r="F30" s="1825"/>
      <c r="G30" s="1825"/>
      <c r="H30" s="1825"/>
      <c r="I30" s="1825"/>
      <c r="J30" s="481"/>
      <c r="K30" s="67"/>
      <c r="L30" s="482"/>
      <c r="M30" s="464"/>
      <c r="N30" s="465"/>
    </row>
    <row r="31" spans="1:20" ht="14.4" outlineLevel="1">
      <c r="A31" s="465"/>
      <c r="B31" s="464"/>
      <c r="C31" s="464"/>
      <c r="D31" s="1831" t="s">
        <v>569</v>
      </c>
      <c r="E31" s="1832"/>
      <c r="F31" s="1832"/>
      <c r="G31" s="1832"/>
      <c r="H31" s="1832"/>
      <c r="I31" s="1832"/>
      <c r="J31" s="284" t="s">
        <v>567</v>
      </c>
      <c r="K31" s="483"/>
      <c r="L31" s="484"/>
      <c r="M31" s="464"/>
      <c r="N31" s="485"/>
      <c r="Q31" s="486"/>
      <c r="R31" s="464"/>
      <c r="T31" s="487"/>
    </row>
    <row r="32" spans="1:20" ht="14.4" outlineLevel="1">
      <c r="A32" s="465"/>
      <c r="B32" s="464"/>
      <c r="C32" s="464"/>
      <c r="D32" s="1831" t="s">
        <v>570</v>
      </c>
      <c r="E32" s="1832"/>
      <c r="F32" s="1832"/>
      <c r="G32" s="1832"/>
      <c r="H32" s="1832"/>
      <c r="I32" s="1832"/>
      <c r="J32" s="284" t="s">
        <v>12</v>
      </c>
      <c r="K32" s="483"/>
      <c r="L32" s="484"/>
      <c r="M32" s="464"/>
      <c r="N32" s="485"/>
      <c r="Q32" s="486"/>
      <c r="R32" s="464"/>
      <c r="T32" s="487"/>
    </row>
    <row r="33" spans="1:20" ht="14.4" outlineLevel="1">
      <c r="A33" s="465"/>
      <c r="B33" s="464"/>
      <c r="C33" s="464"/>
      <c r="D33" s="1831" t="s">
        <v>571</v>
      </c>
      <c r="E33" s="1832"/>
      <c r="F33" s="1832"/>
      <c r="G33" s="1832"/>
      <c r="H33" s="1832"/>
      <c r="I33" s="1832"/>
      <c r="J33" s="284" t="s">
        <v>12</v>
      </c>
      <c r="K33" s="483"/>
      <c r="L33" s="484"/>
      <c r="M33" s="464"/>
      <c r="N33" s="485"/>
      <c r="Q33" s="486"/>
      <c r="R33" s="464"/>
      <c r="T33" s="487"/>
    </row>
    <row r="34" spans="1:20" ht="15" customHeight="1" outlineLevel="1">
      <c r="A34" s="465"/>
      <c r="B34" s="464"/>
      <c r="C34" s="464"/>
      <c r="D34" s="1831" t="s">
        <v>572</v>
      </c>
      <c r="E34" s="1832"/>
      <c r="F34" s="1832"/>
      <c r="G34" s="1832"/>
      <c r="H34" s="1832"/>
      <c r="I34" s="1832"/>
      <c r="J34" s="284" t="s">
        <v>12</v>
      </c>
      <c r="K34" s="483"/>
      <c r="L34" s="484"/>
      <c r="M34" s="464"/>
      <c r="N34" s="485"/>
      <c r="Q34" s="486"/>
      <c r="R34" s="464"/>
      <c r="T34" s="487"/>
    </row>
    <row r="35" spans="1:20" ht="14.4" outlineLevel="1">
      <c r="A35" s="465"/>
      <c r="B35" s="464"/>
      <c r="C35" s="464"/>
      <c r="D35" s="1831" t="s">
        <v>573</v>
      </c>
      <c r="E35" s="1832"/>
      <c r="F35" s="1832"/>
      <c r="G35" s="1832"/>
      <c r="H35" s="1832"/>
      <c r="I35" s="1832"/>
      <c r="J35" s="284" t="s">
        <v>12</v>
      </c>
      <c r="K35" s="483"/>
      <c r="L35" s="484"/>
      <c r="M35" s="464"/>
      <c r="N35" s="485"/>
      <c r="Q35" s="486"/>
      <c r="R35" s="464"/>
      <c r="T35" s="487"/>
    </row>
    <row r="36" spans="1:20" ht="14.4" outlineLevel="1">
      <c r="A36" s="465"/>
      <c r="B36" s="464"/>
      <c r="C36" s="464"/>
      <c r="D36" s="1831" t="s">
        <v>574</v>
      </c>
      <c r="E36" s="1832"/>
      <c r="F36" s="1832"/>
      <c r="G36" s="1832"/>
      <c r="H36" s="1832"/>
      <c r="I36" s="1832"/>
      <c r="J36" s="284" t="s">
        <v>12</v>
      </c>
      <c r="K36" s="483"/>
      <c r="L36" s="484"/>
      <c r="M36" s="464"/>
      <c r="N36" s="485"/>
      <c r="Q36" s="486"/>
      <c r="R36" s="464"/>
      <c r="T36" s="487"/>
    </row>
    <row r="37" spans="1:20" ht="14.4" outlineLevel="1">
      <c r="A37" s="465"/>
      <c r="B37" s="464"/>
      <c r="C37" s="464"/>
      <c r="D37" s="1831" t="s">
        <v>575</v>
      </c>
      <c r="E37" s="1832"/>
      <c r="F37" s="1832"/>
      <c r="G37" s="1832"/>
      <c r="H37" s="1832"/>
      <c r="I37" s="1832"/>
      <c r="J37" s="284" t="s">
        <v>12</v>
      </c>
      <c r="K37" s="483"/>
      <c r="L37" s="484"/>
      <c r="M37" s="464"/>
      <c r="N37" s="485"/>
      <c r="Q37" s="486"/>
      <c r="R37" s="464"/>
      <c r="T37" s="487"/>
    </row>
    <row r="38" spans="1:20" ht="14.4" outlineLevel="1">
      <c r="A38" s="465"/>
      <c r="B38" s="464"/>
      <c r="C38" s="464"/>
      <c r="D38" s="1831" t="s">
        <v>576</v>
      </c>
      <c r="E38" s="1832"/>
      <c r="F38" s="1832"/>
      <c r="G38" s="1832"/>
      <c r="H38" s="1832"/>
      <c r="I38" s="1832"/>
      <c r="J38" s="284" t="s">
        <v>12</v>
      </c>
      <c r="K38" s="483"/>
      <c r="L38" s="484"/>
      <c r="M38" s="464"/>
      <c r="N38" s="465"/>
      <c r="Q38" s="486"/>
      <c r="R38" s="464"/>
      <c r="T38" s="487"/>
    </row>
    <row r="39" spans="1:20" ht="14.4" outlineLevel="1">
      <c r="A39" s="465"/>
      <c r="B39" s="464"/>
      <c r="C39" s="464"/>
      <c r="D39" s="1831" t="s">
        <v>577</v>
      </c>
      <c r="E39" s="1832"/>
      <c r="F39" s="1832"/>
      <c r="G39" s="1832"/>
      <c r="H39" s="1832"/>
      <c r="I39" s="1832"/>
      <c r="J39" s="488" t="s">
        <v>12</v>
      </c>
      <c r="K39" s="489"/>
      <c r="L39" s="490"/>
      <c r="M39" s="464"/>
      <c r="N39" s="465"/>
      <c r="Q39" s="486"/>
      <c r="R39" s="464"/>
      <c r="T39" s="487"/>
    </row>
    <row r="40" spans="1:20" ht="14.4" outlineLevel="1">
      <c r="A40" s="465"/>
      <c r="B40" s="464"/>
      <c r="C40" s="464"/>
      <c r="D40" s="1865" t="s">
        <v>568</v>
      </c>
      <c r="E40" s="1866"/>
      <c r="F40" s="1866"/>
      <c r="G40" s="1866"/>
      <c r="H40" s="1866"/>
      <c r="I40" s="1866"/>
      <c r="J40" s="67" t="str">
        <f>IF('Apoio_Regulação do clima global'!R213=FALSE,(IF('Apoio_Regulação do clima global'!$P$217&lt;=4,"Ruim",IF('Apoio_Regulação do clima global'!P217&gt;=8,"Bom","Regular"))),"")</f>
        <v>Ruim</v>
      </c>
      <c r="K40" s="483"/>
      <c r="L40" s="491"/>
      <c r="M40" s="464"/>
      <c r="N40" s="465"/>
      <c r="Q40" s="464"/>
      <c r="T40" s="464"/>
    </row>
    <row r="41" spans="1:20" ht="16.2" outlineLevel="1">
      <c r="A41" s="465"/>
      <c r="B41" s="464"/>
      <c r="C41" s="464"/>
      <c r="D41" s="1106" t="s">
        <v>1508</v>
      </c>
      <c r="E41" s="1107"/>
      <c r="F41" s="492"/>
      <c r="G41" s="492"/>
      <c r="H41" s="493"/>
      <c r="I41" s="492"/>
      <c r="J41" s="494" t="str">
        <f>IFERROR('Apoio_Regulação do clima global'!D218*J29,"")</f>
        <v/>
      </c>
      <c r="K41" s="495" t="s">
        <v>1386</v>
      </c>
      <c r="L41" s="491"/>
      <c r="M41" s="496"/>
      <c r="N41" s="465"/>
      <c r="P41" s="464"/>
      <c r="Q41" s="464"/>
      <c r="T41" s="464"/>
    </row>
    <row r="42" spans="1:20" ht="15.6" outlineLevel="1">
      <c r="A42" s="465"/>
      <c r="B42" s="464"/>
      <c r="C42" s="464"/>
      <c r="D42" s="150" t="s">
        <v>1387</v>
      </c>
      <c r="E42" s="470"/>
      <c r="F42" s="470"/>
      <c r="G42" s="470"/>
      <c r="H42" s="470"/>
      <c r="I42" s="365"/>
      <c r="J42" s="497"/>
      <c r="K42" s="67" t="s">
        <v>1051</v>
      </c>
      <c r="L42" s="478"/>
      <c r="M42" s="498"/>
      <c r="N42" s="465"/>
    </row>
    <row r="43" spans="1:20" ht="31.5" customHeight="1" outlineLevel="1">
      <c r="A43" s="465"/>
      <c r="B43" s="464"/>
      <c r="C43" s="464"/>
      <c r="D43" s="1729" t="s">
        <v>1388</v>
      </c>
      <c r="E43" s="1730"/>
      <c r="F43" s="1730"/>
      <c r="G43" s="1730"/>
      <c r="H43" s="1730"/>
      <c r="I43" s="1730"/>
      <c r="J43" s="473"/>
      <c r="K43" s="499" t="s">
        <v>1389</v>
      </c>
      <c r="L43" s="474" t="s">
        <v>1132</v>
      </c>
      <c r="M43" s="464"/>
      <c r="N43" s="465"/>
    </row>
    <row r="44" spans="1:20" ht="14.4" outlineLevel="1">
      <c r="A44" s="465"/>
      <c r="B44" s="464"/>
      <c r="C44" s="464"/>
      <c r="D44" s="1836" t="s">
        <v>1656</v>
      </c>
      <c r="E44" s="1837"/>
      <c r="F44" s="1837"/>
      <c r="G44" s="1837"/>
      <c r="H44" s="1837"/>
      <c r="I44" s="1837"/>
      <c r="K44" s="476" t="str">
        <f>IF(J47="","","tCO2e/ha")</f>
        <v/>
      </c>
      <c r="L44" s="501"/>
      <c r="M44" s="464"/>
      <c r="N44" s="465"/>
    </row>
    <row r="45" spans="1:20" ht="14.4" outlineLevel="1">
      <c r="A45" s="465"/>
      <c r="B45" s="464"/>
      <c r="C45" s="464"/>
      <c r="D45" s="1831" t="s">
        <v>1236</v>
      </c>
      <c r="E45" s="1832"/>
      <c r="F45" s="1832"/>
      <c r="G45" s="1832"/>
      <c r="H45" s="1832"/>
      <c r="I45" s="1832"/>
      <c r="J45" s="284" t="s">
        <v>12</v>
      </c>
      <c r="K45" s="67"/>
      <c r="L45" s="478"/>
      <c r="M45" s="464"/>
      <c r="N45" s="465"/>
    </row>
    <row r="46" spans="1:20" ht="14.4" outlineLevel="1">
      <c r="A46" s="465"/>
      <c r="B46" s="464"/>
      <c r="C46" s="464"/>
      <c r="D46" s="1840" t="s">
        <v>1237</v>
      </c>
      <c r="E46" s="1841"/>
      <c r="F46" s="1841"/>
      <c r="G46" s="1841"/>
      <c r="H46" s="1841"/>
      <c r="I46" s="1841"/>
      <c r="J46" s="479" t="s">
        <v>12</v>
      </c>
      <c r="K46" s="67"/>
      <c r="L46" s="478"/>
      <c r="M46" s="464"/>
      <c r="N46" s="465"/>
    </row>
    <row r="47" spans="1:20" ht="14.4" outlineLevel="1">
      <c r="A47" s="465"/>
      <c r="B47" s="464"/>
      <c r="C47" s="464"/>
      <c r="D47" s="1512"/>
      <c r="E47" s="1513"/>
      <c r="F47" s="1513"/>
      <c r="G47" s="1513"/>
      <c r="H47" s="1513"/>
      <c r="I47" s="1513"/>
      <c r="J47" s="500" t="str">
        <f>IFERROR(IF(J43="",IF(J45="Amazônia",VLOOKUP(J46,'Apoio_Regulação do clima global'!B15:D45,3,0),IF(J45="Caatinga",VLOOKUP(J46,'Apoio_Regulação do clima global'!B48:D72,3,0),IF(J45="Cerrado",VLOOKUP(J46,'Apoio_Regulação do clima global'!B75:D113,3,0),IF(J45="Mata Atlântica",VLOOKUP(J46,'Apoio_Regulação do clima global'!B116:D152,3,0),IF(J45="Pampa",VLOOKUP(J46,'Apoio_Regulação do clima global'!B155:D174,3,0),IF(J45="Pantanal",VLOOKUP(J46,'Apoio_Regulação do clima global'!B177:D192,3,0),"")))))),J43),"")</f>
        <v/>
      </c>
      <c r="K47" s="67"/>
      <c r="L47" s="1522"/>
      <c r="M47" s="464"/>
      <c r="N47" s="465"/>
    </row>
    <row r="48" spans="1:20" ht="16.2" outlineLevel="1">
      <c r="A48" s="465"/>
      <c r="B48" s="464"/>
      <c r="C48" s="464"/>
      <c r="D48" s="1106" t="s">
        <v>1509</v>
      </c>
      <c r="E48" s="1108"/>
      <c r="F48" s="502"/>
      <c r="G48" s="502"/>
      <c r="H48" s="502"/>
      <c r="I48" s="502"/>
      <c r="J48" s="503" t="str">
        <f>IFERROR(IF(J42="","",IF(J43="",J47*J42,J43*J42)),"")</f>
        <v/>
      </c>
      <c r="K48" s="495" t="s">
        <v>1386</v>
      </c>
      <c r="L48" s="504"/>
      <c r="M48" s="464"/>
      <c r="N48" s="465"/>
    </row>
    <row r="49" spans="1:20" ht="16.2" outlineLevel="1" thickBot="1">
      <c r="A49" s="465"/>
      <c r="B49" s="464"/>
      <c r="C49" s="464"/>
      <c r="D49" s="505" t="s">
        <v>1390</v>
      </c>
      <c r="E49" s="506"/>
      <c r="F49" s="506"/>
      <c r="G49" s="506"/>
      <c r="H49" s="506"/>
      <c r="I49" s="506"/>
      <c r="J49" s="507"/>
      <c r="K49" s="508" t="s">
        <v>1350</v>
      </c>
      <c r="L49" s="509" t="s">
        <v>1133</v>
      </c>
      <c r="M49" s="464"/>
      <c r="N49" s="465"/>
      <c r="P49" s="464"/>
      <c r="Q49" s="464"/>
      <c r="T49" s="464"/>
    </row>
    <row r="50" spans="1:20" ht="14.4" outlineLevel="1">
      <c r="A50" s="465"/>
      <c r="B50" s="464"/>
      <c r="C50" s="464"/>
      <c r="D50" s="331"/>
      <c r="E50" s="470"/>
      <c r="F50" s="470"/>
      <c r="G50" s="470"/>
      <c r="H50" s="470"/>
      <c r="I50" s="470"/>
      <c r="J50" s="510"/>
      <c r="K50" s="78"/>
      <c r="L50" s="502"/>
      <c r="M50" s="464"/>
      <c r="N50" s="465"/>
      <c r="P50" s="464"/>
      <c r="Q50" s="464"/>
      <c r="T50" s="464"/>
    </row>
    <row r="51" spans="1:20">
      <c r="A51" s="465"/>
      <c r="B51" s="464"/>
      <c r="C51" s="464"/>
      <c r="D51" s="464"/>
      <c r="E51" s="464"/>
      <c r="F51" s="464"/>
      <c r="G51" s="464"/>
      <c r="H51" s="464"/>
      <c r="I51" s="464"/>
      <c r="J51" s="464"/>
      <c r="K51" s="464"/>
      <c r="L51" s="464"/>
      <c r="M51" s="464"/>
      <c r="N51" s="465"/>
      <c r="P51" s="464"/>
      <c r="Q51" s="464"/>
      <c r="T51" s="464"/>
    </row>
    <row r="52" spans="1:20" ht="15" customHeight="1">
      <c r="A52" s="465"/>
      <c r="B52" s="1833" t="s">
        <v>1062</v>
      </c>
      <c r="C52" s="1834"/>
      <c r="D52" s="1834"/>
      <c r="E52" s="1834"/>
      <c r="F52" s="1834"/>
      <c r="G52" s="1834"/>
      <c r="H52" s="1834"/>
      <c r="I52" s="1834"/>
      <c r="J52" s="1834"/>
      <c r="K52" s="1834"/>
      <c r="L52" s="1834"/>
      <c r="M52" s="1834"/>
      <c r="N52" s="1835"/>
    </row>
    <row r="53" spans="1:20" ht="15" customHeight="1" outlineLevel="1">
      <c r="B53" s="511"/>
      <c r="C53" s="512"/>
      <c r="D53" s="512"/>
      <c r="E53" s="512"/>
      <c r="F53" s="512"/>
      <c r="G53" s="512"/>
      <c r="H53" s="512"/>
      <c r="I53" s="512"/>
      <c r="J53" s="512"/>
      <c r="K53" s="512"/>
      <c r="L53" s="512"/>
      <c r="M53" s="512"/>
      <c r="N53" s="513"/>
    </row>
    <row r="54" spans="1:20" ht="15" customHeight="1" outlineLevel="1" thickBot="1">
      <c r="B54" s="511"/>
      <c r="C54" s="512"/>
      <c r="D54" s="512"/>
      <c r="E54" s="514" t="s">
        <v>2</v>
      </c>
      <c r="F54" s="512"/>
      <c r="H54" s="512"/>
      <c r="I54" s="512"/>
      <c r="J54" s="512"/>
      <c r="K54" s="512"/>
      <c r="L54" s="512"/>
      <c r="M54" s="512"/>
      <c r="N54" s="513"/>
    </row>
    <row r="55" spans="1:20" ht="22.5" customHeight="1" outlineLevel="1">
      <c r="B55" s="511"/>
      <c r="C55" s="512"/>
      <c r="D55" s="512"/>
      <c r="E55" s="515" t="s">
        <v>1692</v>
      </c>
      <c r="F55" s="1541"/>
      <c r="G55" s="1541"/>
      <c r="H55" s="1541"/>
      <c r="I55" s="1536"/>
      <c r="J55" s="1536" t="str">
        <f>IFERROR(J41,"")</f>
        <v/>
      </c>
      <c r="K55" s="548" t="s">
        <v>1353</v>
      </c>
      <c r="M55" s="512"/>
      <c r="N55" s="513"/>
    </row>
    <row r="56" spans="1:20" ht="20.25" customHeight="1" outlineLevel="1">
      <c r="B56" s="511"/>
      <c r="C56" s="512"/>
      <c r="D56" s="512"/>
      <c r="E56" s="1537" t="s">
        <v>1679</v>
      </c>
      <c r="F56" s="1542"/>
      <c r="G56" s="1542"/>
      <c r="H56" s="1542"/>
      <c r="I56" s="1535"/>
      <c r="J56" s="1535" t="str">
        <f>IFERROR(J48,"")</f>
        <v/>
      </c>
      <c r="K56" s="1538" t="s">
        <v>1353</v>
      </c>
      <c r="M56" s="512"/>
      <c r="N56" s="513"/>
    </row>
    <row r="57" spans="1:20" ht="19.5" customHeight="1" outlineLevel="1">
      <c r="B57" s="463"/>
      <c r="C57" s="464"/>
      <c r="D57" s="464"/>
      <c r="E57" s="1539" t="s">
        <v>1678</v>
      </c>
      <c r="F57" s="1542"/>
      <c r="G57" s="1542"/>
      <c r="H57" s="1542"/>
      <c r="I57" s="1542"/>
      <c r="J57" s="1540" t="str">
        <f>IFERROR(J41-J48,"")</f>
        <v/>
      </c>
      <c r="K57" s="1538" t="s">
        <v>1353</v>
      </c>
      <c r="M57" s="464"/>
      <c r="N57" s="465"/>
    </row>
    <row r="58" spans="1:20" ht="16.2" outlineLevel="1" thickBot="1">
      <c r="B58" s="463"/>
      <c r="C58" s="464"/>
      <c r="D58" s="464"/>
      <c r="E58" s="97" t="s">
        <v>493</v>
      </c>
      <c r="F58" s="1543"/>
      <c r="G58" s="1543"/>
      <c r="H58" s="1543"/>
      <c r="I58" s="1543"/>
      <c r="J58" s="98" t="str">
        <f>IF(J57="","",J57*J49)</f>
        <v/>
      </c>
      <c r="K58" s="549" t="s">
        <v>13</v>
      </c>
      <c r="M58" s="464"/>
      <c r="N58" s="465"/>
    </row>
    <row r="59" spans="1:20" ht="15.6" outlineLevel="1">
      <c r="B59" s="463"/>
      <c r="C59" s="464"/>
      <c r="D59" s="464"/>
      <c r="E59" s="464"/>
      <c r="F59" s="516"/>
      <c r="G59" s="93"/>
      <c r="H59" s="518"/>
      <c r="I59" s="518"/>
      <c r="J59" s="519"/>
      <c r="K59" s="464"/>
      <c r="L59" s="464"/>
      <c r="M59" s="464"/>
      <c r="N59" s="465"/>
    </row>
    <row r="60" spans="1:20" ht="15.6">
      <c r="B60" s="463"/>
      <c r="C60" s="464"/>
      <c r="D60" s="464"/>
      <c r="E60" s="464"/>
      <c r="F60" s="516"/>
      <c r="G60" s="93"/>
      <c r="H60" s="518"/>
      <c r="I60" s="518"/>
      <c r="J60" s="519"/>
      <c r="K60" s="464"/>
      <c r="L60" s="464"/>
      <c r="M60" s="464"/>
      <c r="N60" s="465"/>
    </row>
    <row r="61" spans="1:20" ht="15.6">
      <c r="A61" s="465"/>
      <c r="B61" s="1833" t="s">
        <v>1296</v>
      </c>
      <c r="C61" s="1834"/>
      <c r="D61" s="1834"/>
      <c r="E61" s="1834"/>
      <c r="F61" s="1834"/>
      <c r="G61" s="1834"/>
      <c r="H61" s="1834"/>
      <c r="I61" s="1834"/>
      <c r="J61" s="1834"/>
      <c r="K61" s="1834"/>
      <c r="L61" s="1834"/>
      <c r="M61" s="1834"/>
      <c r="N61" s="1835"/>
    </row>
    <row r="62" spans="1:20" ht="15" outlineLevel="1" thickBot="1">
      <c r="B62" s="463"/>
      <c r="C62" s="516"/>
      <c r="D62" s="520"/>
      <c r="E62" s="7" t="s">
        <v>1684</v>
      </c>
      <c r="F62" s="14"/>
      <c r="G62" s="1565"/>
      <c r="H62" s="1565"/>
      <c r="I62" s="20"/>
      <c r="J62" s="20"/>
      <c r="M62" s="464"/>
      <c r="N62" s="465"/>
    </row>
    <row r="63" spans="1:20" ht="18" outlineLevel="1">
      <c r="B63" s="463"/>
      <c r="C63" s="516"/>
      <c r="D63" s="520"/>
      <c r="E63" s="1854" t="s">
        <v>1297</v>
      </c>
      <c r="F63" s="1855"/>
      <c r="G63" s="1652" t="s">
        <v>1391</v>
      </c>
      <c r="H63" s="1830"/>
      <c r="I63" s="1812" t="s">
        <v>1179</v>
      </c>
      <c r="J63" s="1813"/>
      <c r="M63" s="464"/>
      <c r="N63" s="465"/>
    </row>
    <row r="64" spans="1:20" ht="14.4" outlineLevel="1">
      <c r="B64" s="463"/>
      <c r="C64" s="516"/>
      <c r="D64" s="522"/>
      <c r="E64" s="1844"/>
      <c r="F64" s="1845"/>
      <c r="G64" s="1828"/>
      <c r="H64" s="1829"/>
      <c r="I64" s="1810"/>
      <c r="J64" s="1811"/>
      <c r="M64" s="464"/>
      <c r="N64" s="465"/>
    </row>
    <row r="65" spans="1:14" ht="14.4" outlineLevel="1">
      <c r="B65" s="463"/>
      <c r="C65" s="516"/>
      <c r="D65" s="520"/>
      <c r="E65" s="1844"/>
      <c r="F65" s="1845"/>
      <c r="G65" s="1828"/>
      <c r="H65" s="1829"/>
      <c r="I65" s="1810"/>
      <c r="J65" s="1811"/>
      <c r="M65" s="464"/>
      <c r="N65" s="465"/>
    </row>
    <row r="66" spans="1:14" ht="14.4" outlineLevel="1">
      <c r="B66" s="463"/>
      <c r="C66" s="516"/>
      <c r="D66" s="520"/>
      <c r="E66" s="1844"/>
      <c r="F66" s="1845"/>
      <c r="G66" s="1828"/>
      <c r="H66" s="1829"/>
      <c r="I66" s="1816"/>
      <c r="J66" s="1817"/>
      <c r="M66" s="464"/>
      <c r="N66" s="465"/>
    </row>
    <row r="67" spans="1:14" ht="14.4" outlineLevel="1">
      <c r="B67" s="463"/>
      <c r="C67" s="516"/>
      <c r="D67" s="520"/>
      <c r="E67" s="1844"/>
      <c r="F67" s="1845"/>
      <c r="G67" s="1828"/>
      <c r="H67" s="1829"/>
      <c r="I67" s="1816"/>
      <c r="J67" s="1817"/>
      <c r="M67" s="464"/>
      <c r="N67" s="465"/>
    </row>
    <row r="68" spans="1:14" ht="14.4" outlineLevel="1">
      <c r="B68" s="463"/>
      <c r="C68" s="516"/>
      <c r="D68" s="520"/>
      <c r="E68" s="1844"/>
      <c r="F68" s="1845"/>
      <c r="G68" s="1828"/>
      <c r="H68" s="1829"/>
      <c r="I68" s="1816"/>
      <c r="J68" s="1817"/>
      <c r="M68" s="464"/>
      <c r="N68" s="465"/>
    </row>
    <row r="69" spans="1:14" ht="14.4" outlineLevel="1">
      <c r="B69" s="463"/>
      <c r="C69" s="516"/>
      <c r="D69" s="520"/>
      <c r="E69" s="1844"/>
      <c r="F69" s="1845"/>
      <c r="G69" s="1828"/>
      <c r="H69" s="1829"/>
      <c r="I69" s="1816"/>
      <c r="J69" s="1817"/>
      <c r="M69" s="464"/>
      <c r="N69" s="465"/>
    </row>
    <row r="70" spans="1:14" ht="14.4" outlineLevel="1">
      <c r="B70" s="463"/>
      <c r="C70" s="516"/>
      <c r="D70" s="520"/>
      <c r="E70" s="1844"/>
      <c r="F70" s="1845"/>
      <c r="G70" s="1828"/>
      <c r="H70" s="1829"/>
      <c r="I70" s="1816"/>
      <c r="J70" s="1817"/>
      <c r="M70" s="464"/>
      <c r="N70" s="465"/>
    </row>
    <row r="71" spans="1:14" ht="14.4" outlineLevel="1">
      <c r="B71" s="463"/>
      <c r="C71" s="516"/>
      <c r="D71" s="520"/>
      <c r="E71" s="1844"/>
      <c r="F71" s="1845"/>
      <c r="G71" s="1828"/>
      <c r="H71" s="1829"/>
      <c r="I71" s="1816"/>
      <c r="J71" s="1817"/>
      <c r="M71" s="464"/>
      <c r="N71" s="465"/>
    </row>
    <row r="72" spans="1:14" ht="14.4" outlineLevel="1">
      <c r="B72" s="463"/>
      <c r="C72" s="516"/>
      <c r="D72" s="520"/>
      <c r="E72" s="1844"/>
      <c r="F72" s="1845"/>
      <c r="G72" s="1828"/>
      <c r="H72" s="1829"/>
      <c r="I72" s="1816"/>
      <c r="J72" s="1817"/>
      <c r="M72" s="464"/>
      <c r="N72" s="465"/>
    </row>
    <row r="73" spans="1:14" ht="15" outlineLevel="1" thickBot="1">
      <c r="B73" s="463"/>
      <c r="C73" s="516"/>
      <c r="D73" s="520"/>
      <c r="E73" s="1846"/>
      <c r="F73" s="1847"/>
      <c r="G73" s="1826"/>
      <c r="H73" s="1827"/>
      <c r="I73" s="1819"/>
      <c r="J73" s="1820"/>
      <c r="M73" s="464"/>
      <c r="N73" s="465"/>
    </row>
    <row r="74" spans="1:14" ht="15.6" outlineLevel="1">
      <c r="B74" s="463"/>
      <c r="C74" s="464"/>
      <c r="D74" s="464"/>
      <c r="E74" s="464"/>
      <c r="F74" s="516"/>
      <c r="G74" s="93"/>
      <c r="H74" s="518"/>
      <c r="I74" s="518"/>
      <c r="J74" s="519"/>
      <c r="K74" s="464"/>
      <c r="L74" s="464"/>
      <c r="M74" s="464"/>
      <c r="N74" s="465"/>
    </row>
    <row r="75" spans="1:14" ht="15.6">
      <c r="B75" s="463"/>
      <c r="C75" s="464"/>
      <c r="D75" s="464"/>
      <c r="E75" s="464"/>
      <c r="F75" s="516"/>
      <c r="G75" s="93"/>
      <c r="H75" s="518"/>
      <c r="I75" s="518"/>
      <c r="J75" s="519"/>
      <c r="K75" s="464"/>
      <c r="L75" s="464"/>
      <c r="M75" s="464"/>
      <c r="N75" s="465"/>
    </row>
    <row r="76" spans="1:14">
      <c r="B76" s="463"/>
      <c r="C76" s="464"/>
      <c r="D76" s="464"/>
      <c r="E76" s="464"/>
      <c r="F76" s="516"/>
      <c r="G76" s="520"/>
      <c r="H76" s="464"/>
      <c r="I76" s="464"/>
      <c r="J76" s="464"/>
      <c r="K76" s="464"/>
      <c r="L76" s="464"/>
      <c r="M76" s="464"/>
      <c r="N76" s="465"/>
    </row>
    <row r="77" spans="1:14" ht="15.6">
      <c r="B77" s="463"/>
      <c r="C77" s="1102" t="s">
        <v>578</v>
      </c>
      <c r="D77" s="520"/>
      <c r="E77" s="521"/>
      <c r="F77" s="516"/>
      <c r="G77" s="520"/>
      <c r="H77" s="464"/>
      <c r="I77" s="464"/>
      <c r="J77" s="464"/>
      <c r="K77" s="464"/>
      <c r="L77" s="464"/>
      <c r="M77" s="464"/>
      <c r="N77" s="465"/>
    </row>
    <row r="78" spans="1:14">
      <c r="B78" s="463"/>
      <c r="C78" s="464"/>
      <c r="D78" s="520"/>
      <c r="E78" s="521"/>
      <c r="F78" s="516"/>
      <c r="G78" s="520"/>
      <c r="H78" s="464"/>
      <c r="I78" s="464"/>
      <c r="J78" s="464"/>
      <c r="K78" s="464"/>
      <c r="L78" s="464"/>
      <c r="M78" s="464"/>
      <c r="N78" s="465"/>
    </row>
    <row r="79" spans="1:14" ht="15" customHeight="1">
      <c r="A79" s="465"/>
      <c r="B79" s="1833" t="s">
        <v>488</v>
      </c>
      <c r="C79" s="1834"/>
      <c r="D79" s="1834"/>
      <c r="E79" s="1834"/>
      <c r="F79" s="1834"/>
      <c r="G79" s="1834"/>
      <c r="H79" s="1834"/>
      <c r="I79" s="1834"/>
      <c r="J79" s="1834"/>
      <c r="K79" s="1834"/>
      <c r="L79" s="1834"/>
      <c r="M79" s="1834"/>
      <c r="N79" s="1835"/>
    </row>
    <row r="80" spans="1:14" ht="15" customHeight="1" outlineLevel="1" thickBot="1">
      <c r="A80" s="465"/>
      <c r="B80" s="464"/>
      <c r="C80" s="512"/>
      <c r="D80" s="512"/>
      <c r="E80" s="512"/>
      <c r="F80" s="464"/>
      <c r="G80" s="464"/>
      <c r="H80" s="464"/>
      <c r="I80" s="464"/>
      <c r="J80" s="464"/>
      <c r="K80" s="464"/>
      <c r="L80" s="464"/>
      <c r="M80" s="464"/>
      <c r="N80" s="465"/>
    </row>
    <row r="81" spans="1:17" ht="15" customHeight="1" outlineLevel="1">
      <c r="A81" s="465"/>
      <c r="B81" s="464"/>
      <c r="C81" s="512"/>
      <c r="D81" s="1091" t="s">
        <v>499</v>
      </c>
      <c r="E81" s="61"/>
      <c r="F81" s="61"/>
      <c r="G81" s="61"/>
      <c r="H81" s="61"/>
      <c r="I81" s="61"/>
      <c r="J81" s="1373" t="s">
        <v>492</v>
      </c>
      <c r="K81" s="1373" t="s">
        <v>24</v>
      </c>
      <c r="L81" s="1374" t="s">
        <v>1558</v>
      </c>
      <c r="M81" s="464"/>
      <c r="N81" s="465"/>
    </row>
    <row r="82" spans="1:17" ht="15" customHeight="1" outlineLevel="1">
      <c r="A82" s="465"/>
      <c r="B82" s="464"/>
      <c r="C82" s="512"/>
      <c r="D82" s="1863" t="s">
        <v>1563</v>
      </c>
      <c r="E82" s="1864"/>
      <c r="F82" s="1864"/>
      <c r="G82" s="1864"/>
      <c r="H82" s="1864"/>
      <c r="I82" s="1864"/>
      <c r="J82" s="1371"/>
      <c r="K82" s="67" t="s">
        <v>580</v>
      </c>
      <c r="L82" s="484"/>
      <c r="M82" s="464"/>
      <c r="N82" s="465"/>
    </row>
    <row r="83" spans="1:17" ht="14.4" outlineLevel="1">
      <c r="A83" s="465"/>
      <c r="B83" s="464"/>
      <c r="C83" s="523"/>
      <c r="D83" s="524" t="s">
        <v>1392</v>
      </c>
      <c r="E83" s="464"/>
      <c r="F83" s="464"/>
      <c r="G83" s="464"/>
      <c r="H83" s="464"/>
      <c r="I83" s="464"/>
      <c r="J83" s="1433"/>
      <c r="K83" s="1211" t="s">
        <v>1051</v>
      </c>
      <c r="L83" s="1434"/>
      <c r="M83" s="464"/>
      <c r="N83" s="465"/>
    </row>
    <row r="84" spans="1:17" ht="27.6" outlineLevel="1">
      <c r="A84" s="465"/>
      <c r="B84" s="464"/>
      <c r="C84" s="464"/>
      <c r="D84" s="1370" t="s">
        <v>1393</v>
      </c>
      <c r="E84" s="525"/>
      <c r="F84" s="525"/>
      <c r="G84" s="525"/>
      <c r="H84" s="525"/>
      <c r="I84" s="525"/>
      <c r="J84" s="526"/>
      <c r="K84" s="435" t="s">
        <v>579</v>
      </c>
      <c r="L84" s="527" t="s">
        <v>1134</v>
      </c>
      <c r="M84" s="464"/>
      <c r="N84" s="465"/>
    </row>
    <row r="85" spans="1:17" s="464" customFormat="1" ht="15.6" outlineLevel="1">
      <c r="A85" s="465"/>
      <c r="D85" s="150" t="s">
        <v>1394</v>
      </c>
      <c r="J85" s="528"/>
      <c r="K85" s="529" t="s">
        <v>579</v>
      </c>
      <c r="L85" s="484"/>
      <c r="N85" s="465"/>
    </row>
    <row r="86" spans="1:17" s="464" customFormat="1" ht="30" customHeight="1" outlineLevel="1">
      <c r="A86" s="465"/>
      <c r="D86" s="1838" t="s">
        <v>1395</v>
      </c>
      <c r="E86" s="1839"/>
      <c r="F86" s="1839"/>
      <c r="G86" s="1839"/>
      <c r="H86" s="1839"/>
      <c r="I86" s="1839"/>
      <c r="J86" s="530"/>
      <c r="K86" s="531" t="s">
        <v>1384</v>
      </c>
      <c r="L86" s="474" t="s">
        <v>1135</v>
      </c>
      <c r="N86" s="465"/>
    </row>
    <row r="87" spans="1:17" s="464" customFormat="1" ht="14.4" outlineLevel="1">
      <c r="A87" s="465"/>
      <c r="D87" s="1836" t="s">
        <v>1659</v>
      </c>
      <c r="E87" s="1837"/>
      <c r="F87" s="1837"/>
      <c r="G87" s="1837"/>
      <c r="H87" s="1837"/>
      <c r="I87" s="1837"/>
      <c r="J87" s="535"/>
      <c r="K87" s="533" t="str">
        <f>IF(J91="","","tCO2e/há")</f>
        <v/>
      </c>
      <c r="L87" s="534"/>
      <c r="N87" s="465"/>
    </row>
    <row r="88" spans="1:17" ht="15" customHeight="1" outlineLevel="1">
      <c r="A88" s="465"/>
      <c r="B88" s="464"/>
      <c r="C88" s="464"/>
      <c r="D88" s="1842" t="s">
        <v>1061</v>
      </c>
      <c r="E88" s="1843"/>
      <c r="F88" s="1843"/>
      <c r="G88" s="1843"/>
      <c r="H88" s="1843"/>
      <c r="I88" s="1843"/>
      <c r="J88" s="1371" t="s">
        <v>12</v>
      </c>
      <c r="K88" s="67"/>
      <c r="L88" s="484"/>
      <c r="M88" s="464"/>
      <c r="N88" s="465"/>
    </row>
    <row r="89" spans="1:17" ht="14.4" outlineLevel="1">
      <c r="A89" s="465"/>
      <c r="B89" s="464"/>
      <c r="C89" s="464"/>
      <c r="D89" s="1840" t="s">
        <v>1071</v>
      </c>
      <c r="E89" s="1841"/>
      <c r="F89" s="1841"/>
      <c r="G89" s="1841"/>
      <c r="H89" s="1841"/>
      <c r="I89" s="1841"/>
      <c r="J89" s="479" t="s">
        <v>12</v>
      </c>
      <c r="K89" s="67"/>
      <c r="L89" s="484"/>
      <c r="M89" s="464"/>
      <c r="N89" s="465"/>
    </row>
    <row r="90" spans="1:17" ht="14.4" outlineLevel="1">
      <c r="A90" s="465"/>
      <c r="B90" s="464"/>
      <c r="C90" s="464"/>
      <c r="D90" s="1469"/>
      <c r="E90" s="1470"/>
      <c r="F90" s="1470"/>
      <c r="G90" s="1470"/>
      <c r="H90" s="1470"/>
      <c r="I90" s="1470" t="s">
        <v>1635</v>
      </c>
      <c r="J90" s="479" t="s">
        <v>12</v>
      </c>
      <c r="K90" s="67"/>
      <c r="L90" s="484"/>
      <c r="M90" s="464"/>
      <c r="N90" s="465"/>
    </row>
    <row r="91" spans="1:17" ht="15.6" outlineLevel="1">
      <c r="A91" s="465"/>
      <c r="B91" s="464"/>
      <c r="C91" s="464"/>
      <c r="D91" s="1512"/>
      <c r="E91" s="1513"/>
      <c r="F91" s="1513"/>
      <c r="G91" s="1513"/>
      <c r="H91" s="1513"/>
      <c r="I91" s="1514" t="s">
        <v>1653</v>
      </c>
      <c r="J91" s="532" t="str">
        <f>'Apoio_Regulação do clima global'!C227</f>
        <v/>
      </c>
      <c r="K91" s="67"/>
      <c r="L91" s="484"/>
      <c r="M91" s="464"/>
      <c r="N91" s="465"/>
    </row>
    <row r="92" spans="1:17" ht="14.4" outlineLevel="1">
      <c r="A92" s="465"/>
      <c r="B92" s="464"/>
      <c r="C92" s="464"/>
      <c r="D92" s="1860" t="s">
        <v>566</v>
      </c>
      <c r="E92" s="1861"/>
      <c r="F92" s="1861"/>
      <c r="G92" s="1861"/>
      <c r="H92" s="1861"/>
      <c r="I92" s="1861"/>
      <c r="J92" s="535"/>
      <c r="K92" s="483"/>
      <c r="L92" s="491"/>
      <c r="M92" s="464"/>
      <c r="N92" s="465"/>
      <c r="Q92" s="486"/>
    </row>
    <row r="93" spans="1:17" ht="14.4" outlineLevel="1">
      <c r="A93" s="465"/>
      <c r="B93" s="464"/>
      <c r="C93" s="464"/>
      <c r="D93" s="1831" t="s">
        <v>581</v>
      </c>
      <c r="E93" s="1832"/>
      <c r="F93" s="1832"/>
      <c r="G93" s="1832"/>
      <c r="H93" s="1832"/>
      <c r="I93" s="1832"/>
      <c r="J93" s="164" t="s">
        <v>12</v>
      </c>
      <c r="K93" s="67"/>
      <c r="L93" s="484"/>
      <c r="M93" s="464"/>
      <c r="N93" s="485"/>
      <c r="Q93" s="486"/>
    </row>
    <row r="94" spans="1:17" ht="30.75" customHeight="1" outlineLevel="1">
      <c r="A94" s="465"/>
      <c r="B94" s="464"/>
      <c r="C94" s="464"/>
      <c r="D94" s="1840" t="s">
        <v>582</v>
      </c>
      <c r="E94" s="1841"/>
      <c r="F94" s="1841"/>
      <c r="G94" s="1841"/>
      <c r="H94" s="1841"/>
      <c r="I94" s="1841"/>
      <c r="J94" s="164" t="s">
        <v>12</v>
      </c>
      <c r="K94" s="67"/>
      <c r="L94" s="484"/>
      <c r="M94" s="464"/>
      <c r="N94" s="485"/>
      <c r="Q94" s="486"/>
    </row>
    <row r="95" spans="1:17" ht="45" customHeight="1" outlineLevel="1">
      <c r="A95" s="465"/>
      <c r="B95" s="464"/>
      <c r="C95" s="464"/>
      <c r="D95" s="1856" t="s">
        <v>584</v>
      </c>
      <c r="E95" s="1857"/>
      <c r="F95" s="1857"/>
      <c r="G95" s="1857"/>
      <c r="H95" s="1857"/>
      <c r="I95" s="1857"/>
      <c r="J95" s="536" t="s">
        <v>12</v>
      </c>
      <c r="K95" s="529"/>
      <c r="L95" s="490"/>
      <c r="M95" s="464"/>
      <c r="N95" s="485"/>
      <c r="Q95" s="486"/>
    </row>
    <row r="96" spans="1:17" ht="14.4" outlineLevel="1">
      <c r="A96" s="465"/>
      <c r="B96" s="464"/>
      <c r="C96" s="464"/>
      <c r="D96" s="1831" t="s">
        <v>1657</v>
      </c>
      <c r="E96" s="1832"/>
      <c r="F96" s="1832"/>
      <c r="G96" s="1832"/>
      <c r="H96" s="1832"/>
      <c r="I96" s="1832"/>
      <c r="J96" s="67" t="str">
        <f>IF('Apoio_Regulação do clima global'!D238=FALSE,(IF('Apoio_Regulação do clima global'!D237=3,"Bom",(IF('Apoio_Regulação do clima global'!D237&gt;=1,"Regular","Ruim")))),"")</f>
        <v/>
      </c>
      <c r="K96" s="67"/>
      <c r="L96" s="491"/>
      <c r="M96" s="464"/>
      <c r="N96" s="485"/>
      <c r="Q96" s="486"/>
    </row>
    <row r="97" spans="1:17" ht="14.4" outlineLevel="1">
      <c r="A97" s="465"/>
      <c r="B97" s="464"/>
      <c r="C97" s="464"/>
      <c r="D97" s="1868" t="s">
        <v>1072</v>
      </c>
      <c r="E97" s="1869"/>
      <c r="F97" s="1869"/>
      <c r="G97" s="1869"/>
      <c r="H97" s="1869"/>
      <c r="I97" s="1869"/>
      <c r="J97" s="537" t="str">
        <f>'Apoio_Regulação do clima global'!C230</f>
        <v/>
      </c>
      <c r="K97" s="533"/>
      <c r="L97" s="534"/>
      <c r="M97" s="464"/>
      <c r="N97" s="485"/>
      <c r="P97" s="486"/>
      <c r="Q97" s="486"/>
    </row>
    <row r="98" spans="1:17" ht="29.25" customHeight="1" outlineLevel="1">
      <c r="A98" s="465"/>
      <c r="B98" s="464"/>
      <c r="C98" s="464"/>
      <c r="D98" s="1838" t="s">
        <v>1396</v>
      </c>
      <c r="E98" s="1839"/>
      <c r="F98" s="1839"/>
      <c r="G98" s="1839"/>
      <c r="H98" s="1839"/>
      <c r="I98" s="1839"/>
      <c r="J98" s="1493"/>
      <c r="K98" s="1435" t="s">
        <v>1384</v>
      </c>
      <c r="L98" s="474" t="s">
        <v>1135</v>
      </c>
      <c r="M98" s="464"/>
      <c r="N98" s="485"/>
      <c r="P98" s="486"/>
      <c r="Q98" s="486"/>
    </row>
    <row r="99" spans="1:17" ht="14.4" outlineLevel="1">
      <c r="A99" s="465"/>
      <c r="B99" s="464"/>
      <c r="C99" s="464"/>
      <c r="D99" s="1836" t="s">
        <v>1658</v>
      </c>
      <c r="E99" s="1837"/>
      <c r="F99" s="1837"/>
      <c r="G99" s="1837"/>
      <c r="H99" s="1837"/>
      <c r="I99" s="1837"/>
      <c r="K99" s="476" t="str">
        <f>IF(J101="","","tCO2e/há")</f>
        <v/>
      </c>
      <c r="L99" s="474"/>
      <c r="M99" s="464"/>
      <c r="N99" s="485"/>
      <c r="P99" s="486"/>
      <c r="Q99" s="486"/>
    </row>
    <row r="100" spans="1:17" ht="14.4" outlineLevel="1">
      <c r="A100" s="465"/>
      <c r="B100" s="464"/>
      <c r="C100" s="464"/>
      <c r="D100" s="1831" t="s">
        <v>1070</v>
      </c>
      <c r="E100" s="1832"/>
      <c r="F100" s="1832"/>
      <c r="G100" s="1832"/>
      <c r="H100" s="1832"/>
      <c r="I100" s="1832"/>
      <c r="J100" s="1371" t="s">
        <v>12</v>
      </c>
      <c r="K100" s="67"/>
      <c r="L100" s="484"/>
      <c r="M100" s="464"/>
      <c r="N100" s="485"/>
      <c r="P100" s="486"/>
      <c r="Q100" s="486"/>
    </row>
    <row r="101" spans="1:17" ht="14.4" outlineLevel="1">
      <c r="A101" s="465"/>
      <c r="B101" s="464"/>
      <c r="C101" s="464"/>
      <c r="D101" s="1509"/>
      <c r="E101" s="1510"/>
      <c r="F101" s="1510"/>
      <c r="G101" s="1510"/>
      <c r="H101" s="1510"/>
      <c r="I101" s="1511" t="s">
        <v>1654</v>
      </c>
      <c r="J101" s="1521" t="str">
        <f>IFERROR(IF(J98="",IF(J100="Selecione","",(VLOOKUP(J100,'Apoio_Regulação do clima global'!B199:D205,3,0))),""),"")</f>
        <v/>
      </c>
      <c r="K101" s="78"/>
      <c r="L101" s="1520"/>
      <c r="M101" s="464"/>
      <c r="N101" s="485"/>
      <c r="P101" s="486"/>
      <c r="Q101" s="486"/>
    </row>
    <row r="102" spans="1:17" ht="15" outlineLevel="1" thickBot="1">
      <c r="A102" s="465"/>
      <c r="B102" s="464"/>
      <c r="C102" s="464"/>
      <c r="D102" s="538" t="s">
        <v>1397</v>
      </c>
      <c r="E102" s="539"/>
      <c r="F102" s="539"/>
      <c r="G102" s="539"/>
      <c r="H102" s="539"/>
      <c r="I102" s="539"/>
      <c r="J102" s="540"/>
      <c r="K102" s="541" t="s">
        <v>13</v>
      </c>
      <c r="L102" s="1436" t="s">
        <v>1133</v>
      </c>
      <c r="M102" s="464"/>
      <c r="N102" s="485"/>
      <c r="P102" s="486"/>
      <c r="Q102" s="486"/>
    </row>
    <row r="103" spans="1:17" outlineLevel="1">
      <c r="A103" s="465"/>
      <c r="B103" s="464"/>
      <c r="C103" s="464"/>
      <c r="M103" s="464"/>
      <c r="N103" s="485"/>
      <c r="P103" s="486"/>
      <c r="Q103" s="486"/>
    </row>
    <row r="104" spans="1:17">
      <c r="A104" s="465"/>
      <c r="B104" s="464"/>
      <c r="C104" s="542"/>
      <c r="D104" s="543"/>
      <c r="E104" s="544"/>
      <c r="F104" s="464"/>
      <c r="G104" s="545"/>
      <c r="H104" s="464"/>
      <c r="I104" s="464"/>
      <c r="J104" s="464"/>
      <c r="K104" s="464"/>
      <c r="L104" s="464"/>
      <c r="M104" s="464"/>
      <c r="N104" s="465"/>
    </row>
    <row r="105" spans="1:17" ht="15.75" customHeight="1">
      <c r="A105" s="465"/>
      <c r="B105" s="1833" t="s">
        <v>1062</v>
      </c>
      <c r="C105" s="1834"/>
      <c r="D105" s="1834"/>
      <c r="E105" s="1834"/>
      <c r="F105" s="1834"/>
      <c r="G105" s="1834"/>
      <c r="H105" s="1834"/>
      <c r="I105" s="1834"/>
      <c r="J105" s="1834"/>
      <c r="K105" s="1834"/>
      <c r="L105" s="1834"/>
      <c r="M105" s="1834"/>
      <c r="N105" s="1835"/>
    </row>
    <row r="106" spans="1:17" outlineLevel="1">
      <c r="A106" s="465"/>
      <c r="B106" s="464"/>
      <c r="C106" s="464"/>
      <c r="D106" s="464"/>
      <c r="E106" s="464"/>
      <c r="F106" s="545"/>
      <c r="G106" s="546"/>
      <c r="H106" s="464"/>
      <c r="I106" s="464"/>
      <c r="J106" s="464"/>
      <c r="K106" s="464"/>
      <c r="L106" s="464"/>
      <c r="M106" s="464"/>
      <c r="N106" s="465"/>
    </row>
    <row r="107" spans="1:17" ht="16.2" outlineLevel="1" thickBot="1">
      <c r="A107" s="465"/>
      <c r="B107" s="464"/>
      <c r="C107" s="464"/>
      <c r="D107" s="464"/>
      <c r="E107" s="464"/>
      <c r="F107" s="545"/>
      <c r="G107" s="547" t="s">
        <v>2</v>
      </c>
      <c r="H107" s="464"/>
      <c r="I107" s="464"/>
      <c r="J107" s="464"/>
      <c r="K107" s="464"/>
      <c r="L107" s="464"/>
      <c r="M107" s="464"/>
      <c r="N107" s="465"/>
    </row>
    <row r="108" spans="1:17" ht="18" outlineLevel="1">
      <c r="A108" s="465"/>
      <c r="B108" s="464"/>
      <c r="C108" s="464"/>
      <c r="D108" s="464"/>
      <c r="E108" s="464"/>
      <c r="F108" s="464"/>
      <c r="G108" s="515" t="s">
        <v>1398</v>
      </c>
      <c r="H108" s="1870">
        <f>'Apoio_Regulação do clima global'!C252</f>
        <v>0</v>
      </c>
      <c r="I108" s="1870"/>
      <c r="J108" s="548" t="s">
        <v>1535</v>
      </c>
      <c r="K108" s="464"/>
      <c r="L108" s="464"/>
      <c r="M108" s="464"/>
      <c r="N108" s="465"/>
    </row>
    <row r="109" spans="1:17" ht="16.2" outlineLevel="1" thickBot="1">
      <c r="A109" s="465"/>
      <c r="B109" s="464"/>
      <c r="C109" s="516"/>
      <c r="D109" s="520"/>
      <c r="E109" s="521"/>
      <c r="F109" s="516"/>
      <c r="G109" s="97" t="s">
        <v>493</v>
      </c>
      <c r="H109" s="1867">
        <f>IFERROR(H108*J102,"")</f>
        <v>0</v>
      </c>
      <c r="I109" s="1867"/>
      <c r="J109" s="549" t="s">
        <v>13</v>
      </c>
      <c r="K109" s="464"/>
      <c r="L109" s="464"/>
      <c r="M109" s="464"/>
      <c r="N109" s="465"/>
    </row>
    <row r="110" spans="1:17" ht="15.6" outlineLevel="1">
      <c r="A110" s="465"/>
      <c r="B110" s="464"/>
      <c r="C110" s="516"/>
      <c r="D110" s="520"/>
      <c r="E110" s="521"/>
      <c r="F110" s="516"/>
      <c r="G110" s="93"/>
      <c r="H110" s="550"/>
      <c r="I110" s="550"/>
      <c r="J110" s="551"/>
      <c r="K110" s="464"/>
      <c r="L110" s="464"/>
      <c r="M110" s="464"/>
      <c r="N110" s="465"/>
    </row>
    <row r="111" spans="1:17" ht="15.6">
      <c r="A111" s="465"/>
      <c r="B111" s="464"/>
      <c r="C111" s="516"/>
      <c r="D111" s="520"/>
      <c r="E111" s="521"/>
      <c r="F111" s="516"/>
      <c r="G111" s="93"/>
      <c r="H111" s="550"/>
      <c r="I111" s="550"/>
      <c r="J111" s="551"/>
      <c r="K111" s="464"/>
      <c r="L111" s="464"/>
      <c r="M111" s="464"/>
      <c r="N111" s="465"/>
    </row>
    <row r="112" spans="1:17" ht="15.6">
      <c r="A112" s="465"/>
      <c r="B112" s="1833" t="s">
        <v>1296</v>
      </c>
      <c r="C112" s="1834"/>
      <c r="D112" s="1834"/>
      <c r="E112" s="1834"/>
      <c r="F112" s="1834"/>
      <c r="G112" s="1834"/>
      <c r="H112" s="1834"/>
      <c r="I112" s="1834"/>
      <c r="J112" s="1834"/>
      <c r="K112" s="1834"/>
      <c r="L112" s="1834"/>
      <c r="M112" s="1834"/>
      <c r="N112" s="1835"/>
    </row>
    <row r="113" spans="1:15" ht="16.2" thickBot="1">
      <c r="A113" s="465"/>
      <c r="B113" s="464"/>
      <c r="C113" s="516"/>
      <c r="D113" s="520"/>
      <c r="E113" s="521"/>
      <c r="F113" s="516"/>
      <c r="G113" s="93"/>
      <c r="H113" s="550"/>
      <c r="I113" s="550"/>
      <c r="J113" s="551"/>
      <c r="K113" s="464"/>
      <c r="L113" s="464"/>
      <c r="M113" s="464"/>
      <c r="N113" s="465"/>
    </row>
    <row r="114" spans="1:15" ht="15" hidden="1" outlineLevel="1" thickBot="1">
      <c r="B114" s="463"/>
      <c r="C114" s="516"/>
      <c r="D114" s="520"/>
      <c r="E114" s="521"/>
      <c r="F114" s="516"/>
      <c r="G114" s="7" t="s">
        <v>1684</v>
      </c>
      <c r="H114" s="14"/>
      <c r="I114" s="1375"/>
      <c r="J114" s="1375"/>
      <c r="K114" s="1375"/>
      <c r="L114" s="1375"/>
      <c r="M114" s="464"/>
      <c r="N114" s="465"/>
    </row>
    <row r="115" spans="1:15" ht="18" hidden="1" outlineLevel="1">
      <c r="B115" s="463"/>
      <c r="C115" s="516"/>
      <c r="D115" s="522"/>
      <c r="E115" s="521"/>
      <c r="F115" s="516"/>
      <c r="G115" s="1854" t="s">
        <v>1297</v>
      </c>
      <c r="H115" s="1855"/>
      <c r="I115" s="1652" t="s">
        <v>1399</v>
      </c>
      <c r="J115" s="1830"/>
      <c r="K115" s="1812" t="s">
        <v>1179</v>
      </c>
      <c r="L115" s="1813"/>
      <c r="M115" s="464"/>
      <c r="N115" s="465"/>
    </row>
    <row r="116" spans="1:15" ht="14.4" hidden="1" outlineLevel="1">
      <c r="B116" s="463"/>
      <c r="C116" s="516"/>
      <c r="D116" s="520"/>
      <c r="E116" s="521"/>
      <c r="F116" s="516"/>
      <c r="G116" s="1844"/>
      <c r="H116" s="1845"/>
      <c r="I116" s="1828"/>
      <c r="J116" s="1829"/>
      <c r="K116" s="1849"/>
      <c r="L116" s="1850"/>
      <c r="M116" s="464"/>
      <c r="N116" s="465"/>
    </row>
    <row r="117" spans="1:15" ht="14.4" hidden="1" outlineLevel="1">
      <c r="B117" s="463"/>
      <c r="C117" s="516"/>
      <c r="D117" s="520"/>
      <c r="E117" s="521"/>
      <c r="F117" s="516"/>
      <c r="G117" s="1844"/>
      <c r="H117" s="1845"/>
      <c r="I117" s="1828"/>
      <c r="J117" s="1829"/>
      <c r="K117" s="1849"/>
      <c r="L117" s="1850"/>
      <c r="M117" s="464"/>
      <c r="N117" s="465"/>
    </row>
    <row r="118" spans="1:15" ht="14.4" hidden="1" outlineLevel="1">
      <c r="B118" s="463"/>
      <c r="C118" s="516"/>
      <c r="D118" s="520"/>
      <c r="E118" s="521"/>
      <c r="F118" s="516"/>
      <c r="G118" s="1844"/>
      <c r="H118" s="1845"/>
      <c r="I118" s="1848"/>
      <c r="J118" s="1845"/>
      <c r="K118" s="1849"/>
      <c r="L118" s="1850"/>
      <c r="M118" s="464"/>
      <c r="N118" s="465"/>
    </row>
    <row r="119" spans="1:15" ht="14.4" hidden="1" outlineLevel="1">
      <c r="B119" s="463"/>
      <c r="C119" s="516"/>
      <c r="D119" s="520"/>
      <c r="E119" s="521"/>
      <c r="F119" s="516"/>
      <c r="G119" s="1844"/>
      <c r="H119" s="1845"/>
      <c r="I119" s="1848"/>
      <c r="J119" s="1845"/>
      <c r="K119" s="1849"/>
      <c r="L119" s="1850"/>
      <c r="M119" s="464"/>
      <c r="N119" s="465"/>
    </row>
    <row r="120" spans="1:15" ht="14.4" hidden="1" outlineLevel="1">
      <c r="B120" s="463"/>
      <c r="C120" s="516"/>
      <c r="D120" s="520"/>
      <c r="E120" s="521"/>
      <c r="F120" s="516"/>
      <c r="G120" s="1844"/>
      <c r="H120" s="1845"/>
      <c r="I120" s="1848"/>
      <c r="J120" s="1845"/>
      <c r="K120" s="1849"/>
      <c r="L120" s="1850"/>
      <c r="M120" s="464"/>
      <c r="N120" s="465"/>
    </row>
    <row r="121" spans="1:15" ht="14.4" hidden="1" outlineLevel="1">
      <c r="B121" s="463"/>
      <c r="C121" s="516"/>
      <c r="D121" s="520"/>
      <c r="E121" s="521"/>
      <c r="F121" s="516"/>
      <c r="G121" s="1844"/>
      <c r="H121" s="1845"/>
      <c r="I121" s="1848"/>
      <c r="J121" s="1845"/>
      <c r="K121" s="1849"/>
      <c r="L121" s="1850"/>
      <c r="M121" s="464"/>
      <c r="N121" s="465"/>
    </row>
    <row r="122" spans="1:15" ht="14.4" hidden="1" outlineLevel="1">
      <c r="B122" s="463"/>
      <c r="C122" s="516"/>
      <c r="D122" s="520"/>
      <c r="E122" s="521"/>
      <c r="F122" s="516"/>
      <c r="G122" s="1844"/>
      <c r="H122" s="1845"/>
      <c r="I122" s="1848"/>
      <c r="J122" s="1845"/>
      <c r="K122" s="1849"/>
      <c r="L122" s="1850"/>
      <c r="M122" s="464"/>
      <c r="N122" s="465"/>
    </row>
    <row r="123" spans="1:15" ht="14.4" hidden="1" outlineLevel="1">
      <c r="B123" s="463"/>
      <c r="C123" s="516"/>
      <c r="D123" s="520"/>
      <c r="E123" s="521"/>
      <c r="F123" s="516"/>
      <c r="G123" s="1844"/>
      <c r="H123" s="1845"/>
      <c r="I123" s="1848"/>
      <c r="J123" s="1845"/>
      <c r="K123" s="1849"/>
      <c r="L123" s="1850"/>
      <c r="M123" s="464"/>
      <c r="N123" s="465"/>
    </row>
    <row r="124" spans="1:15" ht="14.4" hidden="1" outlineLevel="1">
      <c r="B124" s="463"/>
      <c r="C124" s="516"/>
      <c r="D124" s="520"/>
      <c r="E124" s="521"/>
      <c r="F124" s="516"/>
      <c r="G124" s="1844"/>
      <c r="H124" s="1845"/>
      <c r="I124" s="1848"/>
      <c r="J124" s="1845"/>
      <c r="K124" s="1849"/>
      <c r="L124" s="1850"/>
      <c r="M124" s="464"/>
      <c r="N124" s="465"/>
    </row>
    <row r="125" spans="1:15" ht="15" hidden="1" outlineLevel="1" thickBot="1">
      <c r="B125" s="463"/>
      <c r="C125" s="516"/>
      <c r="D125" s="520"/>
      <c r="E125" s="521"/>
      <c r="F125" s="516"/>
      <c r="G125" s="1846"/>
      <c r="H125" s="1847"/>
      <c r="I125" s="1851"/>
      <c r="J125" s="1847"/>
      <c r="K125" s="1852"/>
      <c r="L125" s="1853"/>
      <c r="M125" s="464"/>
      <c r="N125" s="465"/>
    </row>
    <row r="126" spans="1:15" ht="16.2" hidden="1" outlineLevel="1" thickBot="1">
      <c r="B126" s="552"/>
      <c r="C126" s="553"/>
      <c r="D126" s="554"/>
      <c r="E126" s="555"/>
      <c r="F126" s="553"/>
      <c r="G126" s="556"/>
      <c r="H126" s="557"/>
      <c r="I126" s="557"/>
      <c r="J126" s="557"/>
      <c r="K126" s="558"/>
      <c r="L126" s="558"/>
      <c r="M126" s="559"/>
      <c r="N126" s="560"/>
    </row>
    <row r="127" spans="1:15" ht="16.5" customHeight="1" collapsed="1" thickTop="1">
      <c r="A127" s="464"/>
      <c r="B127" s="561"/>
      <c r="C127" s="562"/>
      <c r="D127" s="563"/>
      <c r="E127" s="564"/>
      <c r="F127" s="561"/>
      <c r="G127" s="561"/>
      <c r="H127" s="561"/>
      <c r="I127" s="561"/>
      <c r="J127" s="561"/>
      <c r="K127" s="561"/>
      <c r="L127" s="561"/>
      <c r="M127" s="561"/>
      <c r="N127" s="561"/>
      <c r="O127" s="464"/>
    </row>
    <row r="128" spans="1:15">
      <c r="A128" s="464"/>
      <c r="B128" s="464"/>
      <c r="C128" s="565"/>
      <c r="D128" s="566"/>
      <c r="E128" s="545"/>
      <c r="F128" s="464"/>
      <c r="G128" s="464"/>
      <c r="H128" s="464"/>
      <c r="I128" s="464"/>
      <c r="J128" s="464"/>
      <c r="K128" s="464"/>
      <c r="L128" s="464"/>
      <c r="M128" s="464"/>
      <c r="N128" s="464"/>
      <c r="O128" s="464"/>
    </row>
    <row r="129" spans="1:15" hidden="1">
      <c r="A129" s="464"/>
      <c r="B129" s="464"/>
      <c r="C129" s="464"/>
      <c r="D129" s="567"/>
      <c r="E129" s="464"/>
      <c r="F129" s="464"/>
      <c r="G129" s="464"/>
      <c r="H129" s="464"/>
      <c r="I129" s="464"/>
      <c r="J129" s="464"/>
      <c r="K129" s="464"/>
      <c r="L129" s="464"/>
      <c r="M129" s="464"/>
      <c r="N129" s="464"/>
      <c r="O129" s="464"/>
    </row>
    <row r="130" spans="1:15" hidden="1">
      <c r="A130" s="464"/>
      <c r="B130" s="464"/>
      <c r="C130" s="464"/>
      <c r="D130" s="567"/>
      <c r="E130" s="464"/>
      <c r="F130" s="464"/>
      <c r="G130" s="464"/>
      <c r="H130" s="464"/>
      <c r="I130" s="464"/>
      <c r="J130" s="464"/>
      <c r="K130" s="464"/>
      <c r="L130" s="464"/>
      <c r="M130" s="464"/>
      <c r="N130" s="464"/>
      <c r="O130" s="464"/>
    </row>
    <row r="131" spans="1:15" hidden="1">
      <c r="A131" s="464"/>
      <c r="B131" s="464"/>
      <c r="C131" s="464"/>
      <c r="D131" s="567"/>
      <c r="E131" s="464"/>
      <c r="F131" s="464"/>
      <c r="G131" s="464"/>
      <c r="H131" s="464"/>
      <c r="I131" s="464"/>
      <c r="J131" s="464"/>
      <c r="K131" s="464"/>
      <c r="L131" s="464"/>
      <c r="M131" s="464"/>
      <c r="N131" s="464"/>
      <c r="O131" s="464"/>
    </row>
    <row r="132" spans="1:15" hidden="1">
      <c r="A132" s="464"/>
      <c r="B132" s="464"/>
      <c r="C132" s="464"/>
      <c r="D132" s="567"/>
      <c r="E132" s="464"/>
      <c r="F132" s="464"/>
      <c r="G132" s="464"/>
      <c r="H132" s="464"/>
      <c r="I132" s="464"/>
      <c r="J132" s="464"/>
      <c r="K132" s="464"/>
      <c r="L132" s="464"/>
      <c r="M132" s="464"/>
      <c r="N132" s="464"/>
      <c r="O132" s="464"/>
    </row>
    <row r="133" spans="1:15" hidden="1">
      <c r="A133" s="464"/>
      <c r="B133" s="464"/>
      <c r="C133" s="464"/>
      <c r="D133" s="567"/>
      <c r="E133" s="464"/>
      <c r="F133" s="464"/>
      <c r="G133" s="464"/>
      <c r="H133" s="464"/>
      <c r="I133" s="464"/>
      <c r="J133" s="464"/>
      <c r="K133" s="464"/>
      <c r="L133" s="464"/>
      <c r="M133" s="464"/>
      <c r="N133" s="464"/>
      <c r="O133" s="464"/>
    </row>
    <row r="134" spans="1:15" hidden="1">
      <c r="A134" s="464"/>
      <c r="B134" s="464"/>
      <c r="C134" s="464"/>
      <c r="D134" s="567"/>
      <c r="E134" s="464"/>
      <c r="F134" s="464"/>
      <c r="G134" s="464"/>
      <c r="H134" s="464"/>
      <c r="I134" s="464"/>
      <c r="J134" s="464"/>
      <c r="K134" s="464"/>
      <c r="L134" s="464"/>
      <c r="M134" s="464"/>
      <c r="N134" s="464"/>
      <c r="O134" s="464"/>
    </row>
    <row r="135" spans="1:15" hidden="1">
      <c r="A135" s="464"/>
      <c r="B135" s="464"/>
      <c r="C135" s="464"/>
      <c r="D135" s="567"/>
      <c r="E135" s="464"/>
      <c r="F135" s="464"/>
      <c r="G135" s="464"/>
      <c r="H135" s="464"/>
      <c r="I135" s="464"/>
      <c r="J135" s="464"/>
      <c r="K135" s="464"/>
      <c r="L135" s="464"/>
      <c r="M135" s="464"/>
      <c r="N135" s="464"/>
      <c r="O135" s="464"/>
    </row>
    <row r="136" spans="1:15" hidden="1">
      <c r="A136" s="464"/>
      <c r="B136" s="464"/>
      <c r="C136" s="464"/>
      <c r="D136" s="567"/>
      <c r="E136" s="464"/>
      <c r="F136" s="464"/>
      <c r="G136" s="464"/>
      <c r="H136" s="464"/>
      <c r="I136" s="464"/>
      <c r="J136" s="464"/>
      <c r="K136" s="464"/>
      <c r="L136" s="464"/>
      <c r="M136" s="464"/>
      <c r="N136" s="464"/>
      <c r="O136" s="464"/>
    </row>
    <row r="137" spans="1:15" hidden="1">
      <c r="A137" s="464"/>
      <c r="B137" s="464"/>
      <c r="C137" s="464"/>
      <c r="D137" s="567"/>
      <c r="E137" s="464"/>
      <c r="F137" s="464"/>
      <c r="G137" s="464"/>
      <c r="H137" s="464"/>
      <c r="I137" s="464"/>
      <c r="J137" s="464"/>
      <c r="K137" s="464"/>
      <c r="L137" s="464"/>
      <c r="M137" s="464"/>
      <c r="N137" s="464"/>
      <c r="O137" s="464"/>
    </row>
    <row r="138" spans="1:15" hidden="1">
      <c r="A138" s="464"/>
      <c r="B138" s="464"/>
      <c r="C138" s="464"/>
      <c r="D138" s="567"/>
      <c r="E138" s="464"/>
      <c r="F138" s="464"/>
      <c r="G138" s="464"/>
      <c r="H138" s="464"/>
      <c r="I138" s="464"/>
      <c r="J138" s="464"/>
      <c r="K138" s="464"/>
      <c r="L138" s="464"/>
      <c r="M138" s="464"/>
      <c r="N138" s="464"/>
      <c r="O138" s="464"/>
    </row>
    <row r="139" spans="1:15" hidden="1">
      <c r="A139" s="464"/>
      <c r="B139" s="464"/>
      <c r="C139" s="464"/>
      <c r="D139" s="567"/>
      <c r="E139" s="464"/>
      <c r="F139" s="464"/>
      <c r="G139" s="464"/>
      <c r="H139" s="464"/>
      <c r="I139" s="464"/>
      <c r="J139" s="464"/>
      <c r="K139" s="464"/>
      <c r="L139" s="464"/>
      <c r="M139" s="464"/>
      <c r="N139" s="464"/>
      <c r="O139" s="464"/>
    </row>
    <row r="140" spans="1:15" hidden="1">
      <c r="A140" s="464"/>
      <c r="B140" s="464"/>
      <c r="C140" s="464"/>
      <c r="D140" s="567"/>
      <c r="E140" s="464"/>
      <c r="F140" s="464"/>
      <c r="G140" s="464"/>
      <c r="H140" s="464"/>
      <c r="I140" s="464"/>
      <c r="J140" s="464"/>
      <c r="K140" s="464"/>
      <c r="L140" s="464"/>
      <c r="M140" s="464"/>
      <c r="N140" s="464"/>
      <c r="O140" s="464"/>
    </row>
    <row r="141" spans="1:15" hidden="1">
      <c r="A141" s="464"/>
      <c r="B141" s="464"/>
      <c r="C141" s="464"/>
      <c r="D141" s="567"/>
      <c r="E141" s="464"/>
      <c r="F141" s="464"/>
      <c r="G141" s="464"/>
      <c r="H141" s="464"/>
      <c r="I141" s="464"/>
      <c r="J141" s="464"/>
      <c r="K141" s="464"/>
      <c r="L141" s="464"/>
      <c r="M141" s="464"/>
      <c r="N141" s="464"/>
      <c r="O141" s="464"/>
    </row>
    <row r="142" spans="1:15" hidden="1">
      <c r="A142" s="464"/>
      <c r="B142" s="464"/>
      <c r="C142" s="464"/>
      <c r="D142" s="567"/>
      <c r="E142" s="464"/>
      <c r="F142" s="464"/>
      <c r="G142" s="464"/>
      <c r="H142" s="464"/>
      <c r="I142" s="464"/>
      <c r="J142" s="464"/>
      <c r="K142" s="464"/>
      <c r="L142" s="464"/>
      <c r="M142" s="464"/>
      <c r="N142" s="464"/>
      <c r="O142" s="464"/>
    </row>
    <row r="143" spans="1:15" hidden="1">
      <c r="A143" s="464"/>
      <c r="B143" s="464"/>
      <c r="C143" s="464"/>
      <c r="D143" s="567"/>
      <c r="E143" s="464"/>
      <c r="F143" s="464"/>
      <c r="G143" s="464"/>
      <c r="H143" s="464"/>
      <c r="I143" s="464"/>
      <c r="J143" s="464"/>
      <c r="K143" s="464"/>
      <c r="L143" s="464"/>
      <c r="M143" s="464"/>
      <c r="N143" s="464"/>
      <c r="O143" s="464"/>
    </row>
    <row r="144" spans="1:15" hidden="1">
      <c r="A144" s="464"/>
      <c r="B144" s="464"/>
      <c r="C144" s="464"/>
      <c r="D144" s="567"/>
      <c r="E144" s="464"/>
      <c r="F144" s="464"/>
      <c r="G144" s="464"/>
      <c r="H144" s="464"/>
      <c r="I144" s="464"/>
      <c r="J144" s="464"/>
      <c r="K144" s="464"/>
      <c r="L144" s="464"/>
      <c r="M144" s="464"/>
      <c r="N144" s="464"/>
      <c r="O144" s="464"/>
    </row>
    <row r="145" spans="1:15" hidden="1">
      <c r="A145" s="464"/>
      <c r="B145" s="464"/>
      <c r="C145" s="464"/>
      <c r="D145" s="567"/>
      <c r="E145" s="464"/>
      <c r="F145" s="464"/>
      <c r="G145" s="464"/>
      <c r="H145" s="464"/>
      <c r="I145" s="464"/>
      <c r="J145" s="464"/>
      <c r="K145" s="464"/>
      <c r="L145" s="464"/>
      <c r="M145" s="464"/>
      <c r="N145" s="464"/>
      <c r="O145" s="464"/>
    </row>
    <row r="146" spans="1:15" hidden="1">
      <c r="A146" s="464"/>
      <c r="B146" s="464"/>
      <c r="C146" s="464"/>
      <c r="D146" s="567"/>
      <c r="E146" s="464"/>
      <c r="F146" s="464"/>
      <c r="G146" s="464"/>
      <c r="H146" s="464"/>
      <c r="I146" s="464"/>
      <c r="J146" s="464"/>
      <c r="K146" s="464"/>
      <c r="L146" s="464"/>
      <c r="M146" s="464"/>
      <c r="N146" s="464"/>
      <c r="O146" s="464"/>
    </row>
    <row r="147" spans="1:15" hidden="1">
      <c r="A147" s="464"/>
      <c r="B147" s="464"/>
      <c r="C147" s="464"/>
      <c r="D147" s="567"/>
      <c r="E147" s="464"/>
      <c r="F147" s="464"/>
      <c r="G147" s="464"/>
      <c r="H147" s="464"/>
      <c r="I147" s="464"/>
      <c r="J147" s="464"/>
      <c r="K147" s="464"/>
      <c r="L147" s="464"/>
      <c r="M147" s="464"/>
      <c r="N147" s="464"/>
      <c r="O147" s="464"/>
    </row>
    <row r="148" spans="1:15" hidden="1">
      <c r="A148" s="464"/>
      <c r="B148" s="464"/>
      <c r="C148" s="464"/>
      <c r="D148" s="567"/>
      <c r="E148" s="464"/>
      <c r="F148" s="464"/>
      <c r="G148" s="464"/>
      <c r="H148" s="464"/>
      <c r="I148" s="464"/>
      <c r="J148" s="464"/>
      <c r="K148" s="464"/>
      <c r="L148" s="464"/>
      <c r="M148" s="464"/>
      <c r="N148" s="464"/>
      <c r="O148" s="464"/>
    </row>
    <row r="149" spans="1:15" hidden="1">
      <c r="A149" s="464"/>
      <c r="B149" s="464"/>
      <c r="C149" s="464"/>
      <c r="D149" s="567"/>
      <c r="E149" s="464"/>
      <c r="F149" s="464"/>
      <c r="G149" s="464"/>
      <c r="H149" s="464"/>
      <c r="I149" s="464"/>
      <c r="J149" s="464"/>
      <c r="K149" s="464"/>
      <c r="L149" s="464"/>
      <c r="M149" s="464"/>
      <c r="N149" s="464"/>
      <c r="O149" s="464"/>
    </row>
    <row r="150" spans="1:15" hidden="1">
      <c r="A150" s="464"/>
      <c r="B150" s="464"/>
      <c r="C150" s="464"/>
      <c r="D150" s="567"/>
      <c r="E150" s="464"/>
      <c r="F150" s="464"/>
      <c r="G150" s="464"/>
      <c r="H150" s="464"/>
      <c r="I150" s="464"/>
      <c r="J150" s="464"/>
      <c r="K150" s="464"/>
      <c r="L150" s="464"/>
      <c r="M150" s="464"/>
      <c r="N150" s="464"/>
      <c r="O150" s="464"/>
    </row>
    <row r="151" spans="1:15" hidden="1">
      <c r="A151" s="464"/>
      <c r="B151" s="464"/>
      <c r="C151" s="464"/>
      <c r="D151" s="567"/>
      <c r="E151" s="464"/>
      <c r="F151" s="464"/>
      <c r="G151" s="464"/>
      <c r="H151" s="464"/>
      <c r="I151" s="464"/>
      <c r="J151" s="464"/>
      <c r="K151" s="464"/>
      <c r="L151" s="464"/>
      <c r="M151" s="464"/>
      <c r="N151" s="464"/>
      <c r="O151" s="464"/>
    </row>
    <row r="152" spans="1:15" hidden="1">
      <c r="A152" s="464"/>
      <c r="B152" s="464"/>
      <c r="C152" s="464"/>
      <c r="D152" s="567"/>
      <c r="E152" s="464"/>
      <c r="F152" s="464"/>
      <c r="G152" s="464"/>
      <c r="H152" s="464"/>
      <c r="I152" s="464"/>
      <c r="J152" s="464"/>
      <c r="K152" s="464"/>
      <c r="L152" s="464"/>
      <c r="M152" s="464"/>
      <c r="N152" s="464"/>
      <c r="O152" s="464"/>
    </row>
    <row r="153" spans="1:15" hidden="1">
      <c r="A153" s="464"/>
      <c r="B153" s="464"/>
      <c r="C153" s="464"/>
      <c r="D153" s="567"/>
      <c r="E153" s="464"/>
      <c r="F153" s="464"/>
      <c r="G153" s="464"/>
      <c r="H153" s="464"/>
      <c r="I153" s="464"/>
      <c r="J153" s="464"/>
      <c r="K153" s="464"/>
      <c r="L153" s="464"/>
      <c r="M153" s="464"/>
      <c r="N153" s="464"/>
      <c r="O153" s="464"/>
    </row>
    <row r="154" spans="1:15" hidden="1">
      <c r="A154" s="464"/>
      <c r="B154" s="464"/>
      <c r="C154" s="464"/>
      <c r="D154" s="567"/>
      <c r="E154" s="464"/>
      <c r="F154" s="464"/>
      <c r="G154" s="464"/>
      <c r="H154" s="464"/>
      <c r="I154" s="464"/>
      <c r="J154" s="464"/>
      <c r="K154" s="464"/>
      <c r="L154" s="464"/>
      <c r="M154" s="464"/>
      <c r="N154" s="464"/>
      <c r="O154" s="464"/>
    </row>
    <row r="155" spans="1:15" hidden="1">
      <c r="A155" s="464"/>
      <c r="B155" s="464"/>
      <c r="C155" s="464"/>
      <c r="D155" s="567"/>
      <c r="E155" s="464"/>
      <c r="F155" s="464"/>
      <c r="G155" s="464"/>
      <c r="H155" s="464"/>
      <c r="I155" s="464"/>
      <c r="J155" s="464"/>
      <c r="K155" s="464"/>
      <c r="L155" s="464"/>
      <c r="M155" s="464"/>
      <c r="N155" s="464"/>
      <c r="O155" s="464"/>
    </row>
    <row r="156" spans="1:15" hidden="1">
      <c r="A156" s="464"/>
      <c r="B156" s="464"/>
      <c r="C156" s="464"/>
      <c r="D156" s="567"/>
      <c r="E156" s="464"/>
      <c r="F156" s="464"/>
      <c r="G156" s="464"/>
      <c r="H156" s="464"/>
      <c r="I156" s="464"/>
      <c r="J156" s="464"/>
      <c r="K156" s="464"/>
      <c r="L156" s="464"/>
      <c r="M156" s="464"/>
      <c r="N156" s="464"/>
      <c r="O156" s="464"/>
    </row>
    <row r="157" spans="1:15" hidden="1">
      <c r="A157" s="464"/>
      <c r="B157" s="464"/>
      <c r="C157" s="464"/>
      <c r="D157" s="567"/>
      <c r="E157" s="464"/>
      <c r="F157" s="464"/>
      <c r="G157" s="464"/>
      <c r="H157" s="464"/>
      <c r="I157" s="464"/>
      <c r="J157" s="464"/>
      <c r="K157" s="464"/>
      <c r="L157" s="464"/>
      <c r="M157" s="464"/>
      <c r="N157" s="464"/>
      <c r="O157" s="464"/>
    </row>
    <row r="158" spans="1:15" hidden="1">
      <c r="A158" s="464"/>
      <c r="B158" s="464"/>
      <c r="C158" s="464"/>
      <c r="D158" s="464"/>
      <c r="E158" s="464"/>
      <c r="F158" s="464"/>
      <c r="G158" s="464"/>
      <c r="H158" s="464"/>
      <c r="I158" s="464"/>
      <c r="J158" s="464"/>
      <c r="K158" s="464"/>
      <c r="L158" s="464"/>
      <c r="M158" s="464"/>
      <c r="N158" s="464"/>
      <c r="O158" s="464"/>
    </row>
    <row r="159" spans="1:15" hidden="1">
      <c r="A159" s="464"/>
      <c r="B159" s="464"/>
      <c r="C159" s="464"/>
      <c r="D159" s="567"/>
      <c r="E159" s="464"/>
      <c r="F159" s="464"/>
      <c r="G159" s="464"/>
      <c r="H159" s="464"/>
      <c r="I159" s="464"/>
      <c r="J159" s="464"/>
      <c r="K159" s="464"/>
      <c r="L159" s="464"/>
      <c r="M159" s="464"/>
      <c r="N159" s="464"/>
      <c r="O159" s="464"/>
    </row>
    <row r="160" spans="1:15" hidden="1">
      <c r="A160" s="464"/>
      <c r="B160" s="464"/>
      <c r="C160" s="464"/>
      <c r="D160" s="567"/>
      <c r="E160" s="464"/>
      <c r="F160" s="464"/>
      <c r="G160" s="464"/>
      <c r="H160" s="464"/>
      <c r="I160" s="464"/>
      <c r="J160" s="464"/>
      <c r="K160" s="464"/>
      <c r="L160" s="464"/>
      <c r="M160" s="464"/>
      <c r="N160" s="464"/>
      <c r="O160" s="464"/>
    </row>
    <row r="161" spans="1:15" hidden="1">
      <c r="A161" s="464"/>
      <c r="B161" s="464"/>
      <c r="C161" s="464"/>
      <c r="D161" s="567"/>
      <c r="E161" s="464"/>
      <c r="F161" s="464"/>
      <c r="G161" s="464"/>
      <c r="H161" s="464"/>
      <c r="I161" s="464"/>
      <c r="J161" s="464"/>
      <c r="K161" s="464"/>
      <c r="L161" s="464"/>
      <c r="M161" s="464"/>
      <c r="N161" s="464"/>
      <c r="O161" s="464"/>
    </row>
    <row r="162" spans="1:15" hidden="1">
      <c r="A162" s="464"/>
      <c r="B162" s="464"/>
      <c r="C162" s="464"/>
      <c r="D162" s="567"/>
      <c r="E162" s="464"/>
      <c r="F162" s="464"/>
      <c r="G162" s="464"/>
      <c r="H162" s="464"/>
      <c r="I162" s="464"/>
      <c r="J162" s="464"/>
      <c r="K162" s="464"/>
      <c r="L162" s="464"/>
      <c r="M162" s="464"/>
      <c r="N162" s="464"/>
      <c r="O162" s="464"/>
    </row>
    <row r="163" spans="1:15" hidden="1">
      <c r="A163" s="464"/>
      <c r="B163" s="464"/>
      <c r="C163" s="464"/>
      <c r="D163" s="567"/>
      <c r="E163" s="464"/>
      <c r="F163" s="464"/>
      <c r="G163" s="464"/>
      <c r="H163" s="464"/>
      <c r="I163" s="464"/>
      <c r="J163" s="464"/>
      <c r="K163" s="464"/>
      <c r="L163" s="464"/>
      <c r="M163" s="464"/>
      <c r="N163" s="464"/>
      <c r="O163" s="464"/>
    </row>
    <row r="164" spans="1:15" hidden="1">
      <c r="A164" s="464"/>
      <c r="B164" s="464"/>
      <c r="C164" s="464"/>
      <c r="D164" s="567"/>
      <c r="E164" s="464"/>
      <c r="F164" s="464"/>
      <c r="G164" s="464"/>
      <c r="H164" s="464"/>
      <c r="I164" s="464"/>
      <c r="J164" s="464"/>
      <c r="K164" s="464"/>
      <c r="L164" s="464"/>
      <c r="M164" s="464"/>
      <c r="N164" s="464"/>
      <c r="O164" s="464"/>
    </row>
    <row r="165" spans="1:15" hidden="1">
      <c r="A165" s="464"/>
      <c r="B165" s="464"/>
      <c r="C165" s="464"/>
      <c r="D165" s="567"/>
      <c r="E165" s="464"/>
      <c r="F165" s="464"/>
      <c r="G165" s="464"/>
      <c r="H165" s="464"/>
      <c r="I165" s="464"/>
      <c r="J165" s="464"/>
      <c r="K165" s="464"/>
      <c r="L165" s="464"/>
      <c r="M165" s="464"/>
      <c r="N165" s="464"/>
      <c r="O165" s="464"/>
    </row>
    <row r="166" spans="1:15" hidden="1">
      <c r="A166" s="464"/>
      <c r="B166" s="464"/>
      <c r="C166" s="464"/>
      <c r="D166" s="567"/>
      <c r="E166" s="464"/>
      <c r="F166" s="464"/>
      <c r="G166" s="464"/>
      <c r="H166" s="464"/>
      <c r="I166" s="464"/>
      <c r="J166" s="464"/>
      <c r="K166" s="464"/>
      <c r="L166" s="464"/>
      <c r="M166" s="464"/>
      <c r="N166" s="464"/>
      <c r="O166" s="464"/>
    </row>
    <row r="167" spans="1:15" hidden="1">
      <c r="A167" s="464"/>
      <c r="B167" s="464"/>
      <c r="C167" s="464"/>
      <c r="D167" s="567"/>
      <c r="E167" s="464"/>
      <c r="F167" s="464"/>
      <c r="G167" s="464"/>
      <c r="H167" s="464"/>
      <c r="I167" s="464"/>
      <c r="J167" s="464"/>
      <c r="K167" s="464"/>
      <c r="L167" s="464"/>
      <c r="M167" s="464"/>
      <c r="N167" s="464"/>
      <c r="O167" s="464"/>
    </row>
    <row r="168" spans="1:15" hidden="1">
      <c r="A168" s="464"/>
      <c r="B168" s="464"/>
      <c r="C168" s="464"/>
      <c r="D168" s="567"/>
      <c r="E168" s="464"/>
      <c r="F168" s="464"/>
      <c r="G168" s="464"/>
      <c r="H168" s="464"/>
      <c r="I168" s="464"/>
      <c r="J168" s="464"/>
      <c r="K168" s="464"/>
      <c r="L168" s="464"/>
      <c r="M168" s="464"/>
      <c r="N168" s="464"/>
      <c r="O168" s="464"/>
    </row>
    <row r="169" spans="1:15" hidden="1">
      <c r="A169" s="464"/>
      <c r="B169" s="464"/>
      <c r="C169" s="464"/>
      <c r="D169" s="567"/>
      <c r="E169" s="464"/>
      <c r="F169" s="464"/>
      <c r="G169" s="464"/>
      <c r="H169" s="464"/>
      <c r="I169" s="464"/>
      <c r="J169" s="464"/>
      <c r="K169" s="464"/>
      <c r="L169" s="464"/>
      <c r="M169" s="464"/>
      <c r="N169" s="464"/>
      <c r="O169" s="464"/>
    </row>
    <row r="170" spans="1:15" hidden="1">
      <c r="A170" s="464"/>
      <c r="B170" s="464"/>
      <c r="C170" s="464"/>
      <c r="D170" s="567"/>
      <c r="E170" s="464"/>
      <c r="F170" s="464"/>
      <c r="G170" s="464"/>
      <c r="H170" s="464"/>
      <c r="I170" s="464"/>
      <c r="J170" s="464"/>
      <c r="K170" s="464"/>
      <c r="L170" s="464"/>
      <c r="M170" s="464"/>
      <c r="N170" s="464"/>
      <c r="O170" s="464"/>
    </row>
    <row r="171" spans="1:15" hidden="1">
      <c r="A171" s="464"/>
      <c r="B171" s="464"/>
      <c r="C171" s="464"/>
      <c r="D171" s="567"/>
      <c r="E171" s="464"/>
      <c r="F171" s="464"/>
      <c r="G171" s="464"/>
      <c r="H171" s="464"/>
      <c r="I171" s="464"/>
      <c r="J171" s="464"/>
      <c r="K171" s="464"/>
      <c r="L171" s="464"/>
      <c r="M171" s="464"/>
      <c r="N171" s="464"/>
      <c r="O171" s="464"/>
    </row>
    <row r="172" spans="1:15" hidden="1">
      <c r="A172" s="464"/>
      <c r="B172" s="464"/>
      <c r="C172" s="464"/>
      <c r="D172" s="567"/>
      <c r="E172" s="464"/>
      <c r="F172" s="464"/>
      <c r="G172" s="464"/>
      <c r="H172" s="464"/>
      <c r="I172" s="464"/>
      <c r="J172" s="464"/>
      <c r="K172" s="464"/>
      <c r="L172" s="464"/>
      <c r="M172" s="464"/>
      <c r="N172" s="464"/>
      <c r="O172" s="464"/>
    </row>
    <row r="173" spans="1:15" hidden="1">
      <c r="A173" s="464"/>
      <c r="B173" s="464"/>
      <c r="C173" s="464"/>
      <c r="D173" s="567"/>
      <c r="E173" s="464"/>
      <c r="F173" s="464"/>
      <c r="G173" s="464"/>
      <c r="H173" s="464"/>
      <c r="I173" s="464"/>
      <c r="J173" s="464"/>
      <c r="K173" s="464"/>
      <c r="L173" s="464"/>
      <c r="M173" s="464"/>
      <c r="N173" s="464"/>
      <c r="O173" s="464"/>
    </row>
    <row r="174" spans="1:15" hidden="1">
      <c r="A174" s="464"/>
      <c r="B174" s="464"/>
      <c r="C174" s="464"/>
      <c r="D174" s="567"/>
      <c r="E174" s="464"/>
      <c r="F174" s="464"/>
      <c r="G174" s="464"/>
      <c r="H174" s="464"/>
      <c r="I174" s="464"/>
      <c r="J174" s="464"/>
      <c r="K174" s="464"/>
      <c r="L174" s="464"/>
      <c r="M174" s="464"/>
      <c r="N174" s="464"/>
      <c r="O174" s="464"/>
    </row>
    <row r="175" spans="1:15" hidden="1">
      <c r="A175" s="464"/>
      <c r="B175" s="464"/>
      <c r="C175" s="464"/>
      <c r="D175" s="567"/>
      <c r="E175" s="464"/>
      <c r="F175" s="464"/>
      <c r="G175" s="464"/>
      <c r="H175" s="464"/>
      <c r="I175" s="464"/>
      <c r="J175" s="464"/>
      <c r="K175" s="464"/>
      <c r="L175" s="464"/>
      <c r="M175" s="464"/>
      <c r="N175" s="464"/>
      <c r="O175" s="464"/>
    </row>
    <row r="176" spans="1:15" hidden="1">
      <c r="A176" s="464"/>
      <c r="B176" s="464"/>
      <c r="C176" s="464"/>
      <c r="D176" s="567"/>
      <c r="E176" s="464"/>
      <c r="F176" s="464"/>
      <c r="G176" s="464"/>
      <c r="H176" s="464"/>
      <c r="I176" s="464"/>
      <c r="J176" s="464"/>
      <c r="K176" s="464"/>
      <c r="L176" s="464"/>
      <c r="M176" s="464"/>
      <c r="N176" s="464"/>
      <c r="O176" s="464"/>
    </row>
    <row r="177" spans="1:15" hidden="1">
      <c r="A177" s="464"/>
      <c r="B177" s="464"/>
      <c r="C177" s="464"/>
      <c r="D177" s="567"/>
      <c r="E177" s="464"/>
      <c r="F177" s="464"/>
      <c r="G177" s="464"/>
      <c r="H177" s="464"/>
      <c r="I177" s="464"/>
      <c r="J177" s="464"/>
      <c r="K177" s="464"/>
      <c r="L177" s="464"/>
      <c r="M177" s="464"/>
      <c r="N177" s="464"/>
      <c r="O177" s="464"/>
    </row>
    <row r="178" spans="1:15" hidden="1">
      <c r="A178" s="464"/>
      <c r="B178" s="464"/>
      <c r="C178" s="464"/>
      <c r="D178" s="567"/>
      <c r="E178" s="464"/>
      <c r="F178" s="464"/>
      <c r="G178" s="464"/>
      <c r="H178" s="464"/>
      <c r="I178" s="464"/>
      <c r="J178" s="464"/>
      <c r="K178" s="464"/>
      <c r="L178" s="464"/>
      <c r="M178" s="464"/>
      <c r="N178" s="464"/>
      <c r="O178" s="464"/>
    </row>
    <row r="179" spans="1:15" hidden="1">
      <c r="A179" s="464"/>
      <c r="B179" s="464"/>
      <c r="C179" s="464"/>
      <c r="D179" s="567"/>
      <c r="E179" s="464"/>
      <c r="F179" s="464"/>
      <c r="G179" s="464"/>
      <c r="H179" s="464"/>
      <c r="I179" s="464"/>
      <c r="J179" s="464"/>
      <c r="K179" s="464"/>
      <c r="L179" s="464"/>
      <c r="M179" s="464"/>
      <c r="N179" s="464"/>
      <c r="O179" s="464"/>
    </row>
    <row r="180" spans="1:15" hidden="1">
      <c r="A180" s="464"/>
      <c r="B180" s="464"/>
      <c r="C180" s="464"/>
      <c r="D180" s="567"/>
      <c r="E180" s="464"/>
      <c r="F180" s="464"/>
      <c r="G180" s="464"/>
      <c r="H180" s="464"/>
      <c r="I180" s="464"/>
      <c r="J180" s="464"/>
      <c r="K180" s="464"/>
      <c r="L180" s="464"/>
      <c r="M180" s="464"/>
      <c r="N180" s="464"/>
      <c r="O180" s="464"/>
    </row>
    <row r="181" spans="1:15" hidden="1">
      <c r="A181" s="464"/>
      <c r="B181" s="464"/>
      <c r="C181" s="464"/>
      <c r="D181" s="567"/>
      <c r="E181" s="464"/>
      <c r="F181" s="464"/>
      <c r="G181" s="464"/>
      <c r="H181" s="464"/>
      <c r="I181" s="464"/>
      <c r="J181" s="464"/>
      <c r="K181" s="464"/>
      <c r="L181" s="464"/>
      <c r="M181" s="464"/>
      <c r="N181" s="464"/>
      <c r="O181" s="464"/>
    </row>
    <row r="182" spans="1:15" hidden="1">
      <c r="A182" s="464"/>
      <c r="B182" s="464"/>
      <c r="C182" s="464"/>
      <c r="D182" s="464"/>
      <c r="E182" s="464"/>
      <c r="F182" s="464"/>
      <c r="G182" s="464"/>
      <c r="H182" s="464"/>
      <c r="I182" s="464"/>
      <c r="J182" s="464"/>
      <c r="K182" s="464"/>
      <c r="L182" s="464"/>
      <c r="M182" s="464"/>
      <c r="N182" s="464"/>
      <c r="O182" s="464"/>
    </row>
    <row r="183" spans="1:15" hidden="1">
      <c r="A183" s="464"/>
      <c r="B183" s="464"/>
      <c r="C183" s="464"/>
      <c r="D183" s="567"/>
      <c r="E183" s="464"/>
      <c r="F183" s="464"/>
      <c r="G183" s="464"/>
      <c r="H183" s="464"/>
      <c r="I183" s="464"/>
      <c r="J183" s="464"/>
      <c r="K183" s="464"/>
      <c r="L183" s="464"/>
      <c r="M183" s="464"/>
      <c r="N183" s="464"/>
      <c r="O183" s="464"/>
    </row>
    <row r="184" spans="1:15" hidden="1">
      <c r="A184" s="464"/>
      <c r="B184" s="464"/>
      <c r="C184" s="464"/>
      <c r="D184" s="567"/>
      <c r="E184" s="464"/>
      <c r="F184" s="464"/>
      <c r="G184" s="464"/>
      <c r="H184" s="464"/>
      <c r="I184" s="464"/>
      <c r="J184" s="464"/>
      <c r="K184" s="464"/>
      <c r="L184" s="464"/>
      <c r="M184" s="464"/>
      <c r="N184" s="464"/>
      <c r="O184" s="464"/>
    </row>
    <row r="185" spans="1:15" hidden="1">
      <c r="A185" s="464"/>
      <c r="B185" s="464"/>
      <c r="C185" s="464"/>
      <c r="D185" s="567"/>
      <c r="E185" s="464"/>
      <c r="F185" s="464"/>
      <c r="G185" s="464"/>
      <c r="H185" s="464"/>
      <c r="I185" s="464"/>
      <c r="J185" s="464"/>
      <c r="K185" s="464"/>
      <c r="L185" s="464"/>
      <c r="M185" s="464"/>
      <c r="N185" s="464"/>
      <c r="O185" s="464"/>
    </row>
    <row r="186" spans="1:15" hidden="1">
      <c r="A186" s="464"/>
      <c r="B186" s="464"/>
      <c r="C186" s="464"/>
      <c r="D186" s="567"/>
      <c r="E186" s="464"/>
      <c r="F186" s="464"/>
      <c r="G186" s="464"/>
      <c r="H186" s="464"/>
      <c r="I186" s="464"/>
      <c r="J186" s="464"/>
      <c r="K186" s="464"/>
      <c r="L186" s="464"/>
      <c r="M186" s="464"/>
      <c r="N186" s="464"/>
      <c r="O186" s="464"/>
    </row>
    <row r="187" spans="1:15" hidden="1">
      <c r="A187" s="464"/>
      <c r="B187" s="464"/>
      <c r="C187" s="464"/>
      <c r="D187" s="567"/>
      <c r="E187" s="464"/>
      <c r="F187" s="464"/>
      <c r="G187" s="464"/>
      <c r="H187" s="464"/>
      <c r="I187" s="464"/>
      <c r="J187" s="464"/>
      <c r="K187" s="464"/>
      <c r="L187" s="464"/>
      <c r="M187" s="464"/>
      <c r="N187" s="464"/>
      <c r="O187" s="464"/>
    </row>
    <row r="188" spans="1:15" hidden="1">
      <c r="A188" s="464"/>
      <c r="B188" s="464"/>
      <c r="C188" s="464"/>
      <c r="D188" s="567"/>
      <c r="E188" s="464"/>
      <c r="F188" s="464"/>
      <c r="G188" s="464"/>
      <c r="H188" s="464"/>
      <c r="I188" s="464"/>
      <c r="J188" s="464"/>
      <c r="K188" s="464"/>
      <c r="L188" s="464"/>
      <c r="M188" s="464"/>
      <c r="N188" s="464"/>
      <c r="O188" s="464"/>
    </row>
    <row r="189" spans="1:15" hidden="1">
      <c r="A189" s="464"/>
      <c r="B189" s="464"/>
      <c r="C189" s="464"/>
      <c r="D189" s="567"/>
      <c r="E189" s="464"/>
      <c r="F189" s="464"/>
      <c r="G189" s="464"/>
      <c r="H189" s="464"/>
      <c r="I189" s="464"/>
      <c r="J189" s="464"/>
      <c r="K189" s="464"/>
      <c r="L189" s="464"/>
      <c r="M189" s="464"/>
      <c r="N189" s="464"/>
      <c r="O189" s="464"/>
    </row>
    <row r="190" spans="1:15" hidden="1">
      <c r="A190" s="464"/>
      <c r="B190" s="464"/>
      <c r="C190" s="464"/>
      <c r="D190" s="567"/>
      <c r="E190" s="464"/>
      <c r="F190" s="464"/>
      <c r="G190" s="464"/>
      <c r="H190" s="464"/>
      <c r="I190" s="464"/>
      <c r="J190" s="464"/>
      <c r="K190" s="464"/>
      <c r="L190" s="464"/>
      <c r="M190" s="464"/>
      <c r="N190" s="464"/>
      <c r="O190" s="464"/>
    </row>
    <row r="191" spans="1:15" hidden="1">
      <c r="A191" s="464"/>
      <c r="B191" s="464"/>
      <c r="C191" s="464"/>
      <c r="D191" s="567"/>
      <c r="E191" s="464"/>
      <c r="F191" s="464"/>
      <c r="G191" s="464"/>
      <c r="H191" s="464"/>
      <c r="I191" s="464"/>
      <c r="J191" s="464"/>
      <c r="K191" s="464"/>
      <c r="L191" s="464"/>
      <c r="M191" s="464"/>
      <c r="N191" s="464"/>
      <c r="O191" s="464"/>
    </row>
    <row r="192" spans="1:15" hidden="1">
      <c r="A192" s="464"/>
      <c r="B192" s="464"/>
      <c r="C192" s="464"/>
      <c r="D192" s="567"/>
      <c r="E192" s="464"/>
      <c r="F192" s="464"/>
      <c r="G192" s="464"/>
      <c r="H192" s="464"/>
      <c r="I192" s="464"/>
      <c r="J192" s="464"/>
      <c r="K192" s="464"/>
      <c r="L192" s="464"/>
      <c r="M192" s="464"/>
      <c r="N192" s="464"/>
      <c r="O192" s="464"/>
    </row>
    <row r="193" spans="1:15" hidden="1">
      <c r="A193" s="464"/>
      <c r="B193" s="464"/>
      <c r="C193" s="464"/>
      <c r="D193" s="567"/>
      <c r="E193" s="464"/>
      <c r="F193" s="464"/>
      <c r="G193" s="464"/>
      <c r="H193" s="464"/>
      <c r="I193" s="464"/>
      <c r="J193" s="464"/>
      <c r="K193" s="464"/>
      <c r="L193" s="464"/>
      <c r="M193" s="464"/>
      <c r="N193" s="464"/>
      <c r="O193" s="464"/>
    </row>
    <row r="194" spans="1:15" hidden="1">
      <c r="A194" s="464"/>
      <c r="B194" s="464"/>
      <c r="C194" s="464"/>
      <c r="D194" s="567"/>
      <c r="E194" s="464"/>
      <c r="F194" s="464"/>
      <c r="G194" s="464"/>
      <c r="H194" s="464"/>
      <c r="I194" s="464"/>
      <c r="J194" s="464"/>
      <c r="K194" s="464"/>
      <c r="L194" s="464"/>
      <c r="M194" s="464"/>
      <c r="N194" s="464"/>
      <c r="O194" s="464"/>
    </row>
    <row r="195" spans="1:15" hidden="1">
      <c r="A195" s="464"/>
      <c r="B195" s="464"/>
      <c r="C195" s="464"/>
      <c r="D195" s="567"/>
      <c r="E195" s="464"/>
      <c r="F195" s="464"/>
      <c r="G195" s="464"/>
      <c r="H195" s="464"/>
      <c r="I195" s="464"/>
      <c r="J195" s="464"/>
      <c r="K195" s="464"/>
      <c r="L195" s="464"/>
      <c r="M195" s="464"/>
      <c r="N195" s="464"/>
      <c r="O195" s="464"/>
    </row>
    <row r="196" spans="1:15" hidden="1">
      <c r="A196" s="464"/>
      <c r="B196" s="464"/>
      <c r="C196" s="464"/>
      <c r="D196" s="567"/>
      <c r="E196" s="464"/>
      <c r="F196" s="464"/>
      <c r="G196" s="464"/>
      <c r="H196" s="464"/>
      <c r="I196" s="464"/>
      <c r="J196" s="464"/>
      <c r="K196" s="464"/>
      <c r="L196" s="464"/>
      <c r="M196" s="464"/>
      <c r="N196" s="464"/>
      <c r="O196" s="464"/>
    </row>
    <row r="197" spans="1:15" hidden="1">
      <c r="A197" s="464"/>
      <c r="B197" s="464"/>
      <c r="C197" s="464"/>
      <c r="D197" s="567"/>
      <c r="E197" s="464"/>
      <c r="F197" s="464"/>
      <c r="G197" s="464"/>
      <c r="H197" s="464"/>
      <c r="I197" s="464"/>
      <c r="J197" s="464"/>
      <c r="K197" s="464"/>
      <c r="L197" s="464"/>
      <c r="M197" s="464"/>
      <c r="N197" s="464"/>
      <c r="O197" s="464"/>
    </row>
    <row r="198" spans="1:15" hidden="1">
      <c r="A198" s="464"/>
      <c r="B198" s="464"/>
      <c r="C198" s="464"/>
      <c r="D198" s="567"/>
      <c r="E198" s="464"/>
      <c r="F198" s="464"/>
      <c r="G198" s="464"/>
      <c r="H198" s="464"/>
      <c r="I198" s="464"/>
      <c r="J198" s="464"/>
      <c r="K198" s="464"/>
      <c r="L198" s="464"/>
      <c r="M198" s="464"/>
      <c r="N198" s="464"/>
      <c r="O198" s="464"/>
    </row>
    <row r="199" spans="1:15" hidden="1">
      <c r="A199" s="464"/>
      <c r="B199" s="464"/>
      <c r="C199" s="464"/>
      <c r="D199" s="567"/>
      <c r="E199" s="464"/>
      <c r="F199" s="464"/>
      <c r="G199" s="464"/>
      <c r="H199" s="464"/>
      <c r="I199" s="464"/>
      <c r="J199" s="464"/>
      <c r="K199" s="464"/>
      <c r="L199" s="464"/>
      <c r="M199" s="464"/>
      <c r="N199" s="464"/>
      <c r="O199" s="464"/>
    </row>
    <row r="200" spans="1:15" hidden="1">
      <c r="A200" s="464"/>
      <c r="B200" s="464"/>
      <c r="C200" s="464"/>
      <c r="D200" s="567"/>
      <c r="E200" s="464"/>
      <c r="F200" s="464"/>
      <c r="G200" s="464"/>
      <c r="H200" s="464"/>
      <c r="I200" s="464"/>
      <c r="J200" s="464"/>
      <c r="K200" s="464"/>
      <c r="L200" s="464"/>
      <c r="M200" s="464"/>
      <c r="N200" s="464"/>
      <c r="O200" s="464"/>
    </row>
    <row r="201" spans="1:15" hidden="1">
      <c r="A201" s="464"/>
      <c r="B201" s="464"/>
      <c r="C201" s="464"/>
      <c r="D201" s="567"/>
      <c r="E201" s="464"/>
      <c r="F201" s="464"/>
      <c r="G201" s="464"/>
      <c r="H201" s="464"/>
      <c r="I201" s="464"/>
      <c r="J201" s="464"/>
      <c r="K201" s="464"/>
      <c r="L201" s="464"/>
      <c r="M201" s="464"/>
      <c r="N201" s="464"/>
      <c r="O201" s="464"/>
    </row>
    <row r="202" spans="1:15" hidden="1">
      <c r="A202" s="464"/>
      <c r="B202" s="464"/>
      <c r="C202" s="464"/>
      <c r="D202" s="567"/>
      <c r="E202" s="464"/>
      <c r="F202" s="464"/>
      <c r="G202" s="464"/>
      <c r="H202" s="464"/>
      <c r="I202" s="464"/>
      <c r="J202" s="464"/>
      <c r="K202" s="464"/>
      <c r="L202" s="464"/>
      <c r="M202" s="464"/>
      <c r="N202" s="464"/>
      <c r="O202" s="464"/>
    </row>
    <row r="203" spans="1:15" hidden="1">
      <c r="A203" s="464"/>
      <c r="B203" s="464"/>
      <c r="C203" s="464"/>
      <c r="D203" s="567"/>
      <c r="E203" s="464"/>
      <c r="F203" s="464"/>
      <c r="G203" s="464"/>
      <c r="H203" s="464"/>
      <c r="I203" s="464"/>
      <c r="J203" s="464"/>
      <c r="K203" s="464"/>
      <c r="L203" s="464"/>
      <c r="M203" s="464"/>
      <c r="N203" s="464"/>
      <c r="O203" s="464"/>
    </row>
    <row r="204" spans="1:15" hidden="1">
      <c r="A204" s="464"/>
      <c r="B204" s="464"/>
      <c r="C204" s="464"/>
      <c r="D204" s="567"/>
      <c r="E204" s="464"/>
      <c r="F204" s="464"/>
      <c r="G204" s="464"/>
      <c r="H204" s="464"/>
      <c r="I204" s="464"/>
      <c r="J204" s="464"/>
      <c r="K204" s="464"/>
      <c r="L204" s="464"/>
      <c r="M204" s="464"/>
      <c r="N204" s="464"/>
      <c r="O204" s="464"/>
    </row>
    <row r="205" spans="1:15" hidden="1">
      <c r="A205" s="464"/>
      <c r="B205" s="464"/>
      <c r="C205" s="464"/>
      <c r="D205" s="567"/>
      <c r="E205" s="464"/>
      <c r="F205" s="464"/>
      <c r="G205" s="464"/>
      <c r="H205" s="464"/>
      <c r="I205" s="464"/>
      <c r="J205" s="464"/>
      <c r="K205" s="464"/>
      <c r="L205" s="464"/>
      <c r="M205" s="464"/>
      <c r="N205" s="464"/>
      <c r="O205" s="464"/>
    </row>
    <row r="206" spans="1:15" hidden="1">
      <c r="A206" s="464"/>
      <c r="B206" s="464"/>
      <c r="C206" s="464"/>
      <c r="D206" s="567"/>
      <c r="E206" s="464"/>
      <c r="F206" s="464"/>
      <c r="G206" s="464"/>
      <c r="H206" s="464"/>
      <c r="I206" s="464"/>
      <c r="J206" s="464"/>
      <c r="K206" s="464"/>
      <c r="L206" s="464"/>
      <c r="M206" s="464"/>
      <c r="N206" s="464"/>
      <c r="O206" s="464"/>
    </row>
    <row r="207" spans="1:15" hidden="1">
      <c r="A207" s="464"/>
      <c r="B207" s="464"/>
      <c r="C207" s="464"/>
      <c r="D207" s="567"/>
      <c r="E207" s="464"/>
      <c r="F207" s="464"/>
      <c r="G207" s="464"/>
      <c r="H207" s="464"/>
      <c r="I207" s="464"/>
      <c r="J207" s="464"/>
      <c r="K207" s="464"/>
      <c r="L207" s="464"/>
      <c r="M207" s="464"/>
      <c r="N207" s="464"/>
      <c r="O207" s="464"/>
    </row>
    <row r="208" spans="1:15" hidden="1">
      <c r="A208" s="464"/>
      <c r="B208" s="464"/>
      <c r="C208" s="464"/>
      <c r="D208" s="567"/>
      <c r="E208" s="464"/>
      <c r="F208" s="464"/>
      <c r="G208" s="464"/>
      <c r="H208" s="464"/>
      <c r="I208" s="464"/>
      <c r="J208" s="464"/>
      <c r="K208" s="464"/>
      <c r="L208" s="464"/>
      <c r="M208" s="464"/>
      <c r="N208" s="464"/>
      <c r="O208" s="464"/>
    </row>
    <row r="209" spans="1:15" hidden="1">
      <c r="A209" s="464"/>
      <c r="B209" s="464"/>
      <c r="C209" s="464"/>
      <c r="D209" s="567"/>
      <c r="E209" s="464"/>
      <c r="F209" s="464"/>
      <c r="G209" s="464"/>
      <c r="H209" s="464"/>
      <c r="I209" s="464"/>
      <c r="J209" s="464"/>
      <c r="K209" s="464"/>
      <c r="L209" s="464"/>
      <c r="M209" s="464"/>
      <c r="N209" s="464"/>
      <c r="O209" s="464"/>
    </row>
    <row r="210" spans="1:15" hidden="1">
      <c r="A210" s="464"/>
      <c r="B210" s="464"/>
      <c r="C210" s="464"/>
      <c r="D210" s="567"/>
      <c r="E210" s="464"/>
      <c r="F210" s="464"/>
      <c r="G210" s="464"/>
      <c r="H210" s="464"/>
      <c r="I210" s="464"/>
      <c r="J210" s="464"/>
      <c r="K210" s="464"/>
      <c r="L210" s="464"/>
      <c r="M210" s="464"/>
      <c r="N210" s="464"/>
      <c r="O210" s="464"/>
    </row>
    <row r="211" spans="1:15" hidden="1">
      <c r="A211" s="464"/>
      <c r="B211" s="464"/>
      <c r="C211" s="464"/>
      <c r="D211" s="464"/>
      <c r="E211" s="464"/>
      <c r="F211" s="464"/>
      <c r="G211" s="464"/>
      <c r="H211" s="464"/>
      <c r="I211" s="464"/>
      <c r="J211" s="464"/>
      <c r="K211" s="464"/>
      <c r="L211" s="464"/>
      <c r="M211" s="464"/>
      <c r="N211" s="464"/>
      <c r="O211" s="464"/>
    </row>
    <row r="212" spans="1:15" hidden="1">
      <c r="A212" s="464"/>
      <c r="B212" s="464"/>
      <c r="C212" s="464"/>
      <c r="D212" s="567"/>
      <c r="E212" s="464"/>
      <c r="F212" s="464"/>
      <c r="G212" s="464"/>
      <c r="H212" s="464"/>
      <c r="I212" s="464"/>
      <c r="J212" s="464"/>
      <c r="K212" s="464"/>
      <c r="L212" s="464"/>
      <c r="M212" s="464"/>
      <c r="N212" s="464"/>
      <c r="O212" s="464"/>
    </row>
    <row r="213" spans="1:15" hidden="1">
      <c r="A213" s="464"/>
      <c r="B213" s="464"/>
      <c r="C213" s="464"/>
      <c r="D213" s="567"/>
      <c r="E213" s="464"/>
      <c r="F213" s="464"/>
      <c r="G213" s="464"/>
      <c r="H213" s="464"/>
      <c r="I213" s="464"/>
      <c r="J213" s="464"/>
      <c r="K213" s="464"/>
      <c r="L213" s="464"/>
      <c r="M213" s="464"/>
      <c r="N213" s="464"/>
      <c r="O213" s="464"/>
    </row>
    <row r="214" spans="1:15" hidden="1">
      <c r="A214" s="464"/>
      <c r="B214" s="464"/>
      <c r="C214" s="464"/>
      <c r="D214" s="567"/>
      <c r="E214" s="464"/>
      <c r="F214" s="464"/>
      <c r="G214" s="464"/>
      <c r="H214" s="464"/>
      <c r="I214" s="464"/>
      <c r="J214" s="464"/>
      <c r="K214" s="464"/>
      <c r="L214" s="464"/>
      <c r="M214" s="464"/>
      <c r="N214" s="464"/>
      <c r="O214" s="464"/>
    </row>
    <row r="215" spans="1:15" hidden="1">
      <c r="A215" s="464"/>
      <c r="B215" s="464"/>
      <c r="C215" s="464"/>
      <c r="D215" s="567"/>
      <c r="E215" s="464"/>
      <c r="F215" s="464"/>
      <c r="G215" s="464"/>
      <c r="H215" s="464"/>
      <c r="I215" s="464"/>
      <c r="J215" s="464"/>
      <c r="K215" s="464"/>
      <c r="L215" s="464"/>
      <c r="M215" s="464"/>
      <c r="N215" s="464"/>
      <c r="O215" s="464"/>
    </row>
    <row r="216" spans="1:15" hidden="1">
      <c r="A216" s="464"/>
      <c r="B216" s="464"/>
      <c r="C216" s="464"/>
      <c r="D216" s="567"/>
      <c r="E216" s="464"/>
      <c r="F216" s="464"/>
      <c r="G216" s="464"/>
      <c r="H216" s="464"/>
      <c r="I216" s="464"/>
      <c r="J216" s="464"/>
      <c r="K216" s="464"/>
      <c r="L216" s="464"/>
      <c r="M216" s="464"/>
      <c r="N216" s="464"/>
      <c r="O216" s="464"/>
    </row>
    <row r="217" spans="1:15" hidden="1">
      <c r="A217" s="464"/>
      <c r="B217" s="464"/>
      <c r="C217" s="464"/>
      <c r="D217" s="567"/>
      <c r="E217" s="464"/>
      <c r="F217" s="464"/>
      <c r="G217" s="464"/>
      <c r="H217" s="464"/>
      <c r="I217" s="464"/>
      <c r="J217" s="464"/>
      <c r="K217" s="464"/>
      <c r="L217" s="464"/>
      <c r="M217" s="464"/>
      <c r="N217" s="464"/>
      <c r="O217" s="464"/>
    </row>
    <row r="218" spans="1:15" hidden="1">
      <c r="A218" s="464"/>
      <c r="B218" s="464"/>
      <c r="C218" s="464"/>
      <c r="D218" s="567"/>
      <c r="E218" s="464"/>
      <c r="F218" s="464"/>
      <c r="G218" s="464"/>
      <c r="H218" s="464"/>
      <c r="I218" s="464"/>
      <c r="J218" s="464"/>
      <c r="K218" s="464"/>
      <c r="L218" s="464"/>
      <c r="M218" s="464"/>
      <c r="N218" s="464"/>
      <c r="O218" s="464"/>
    </row>
    <row r="219" spans="1:15" hidden="1">
      <c r="A219" s="464"/>
      <c r="B219" s="464"/>
      <c r="C219" s="464"/>
      <c r="D219" s="567"/>
      <c r="E219" s="464"/>
      <c r="F219" s="464"/>
      <c r="G219" s="464"/>
      <c r="H219" s="464"/>
      <c r="I219" s="464"/>
      <c r="J219" s="464"/>
      <c r="K219" s="464"/>
      <c r="L219" s="464"/>
      <c r="M219" s="464"/>
      <c r="N219" s="464"/>
      <c r="O219" s="464"/>
    </row>
    <row r="220" spans="1:15" hidden="1">
      <c r="A220" s="464"/>
      <c r="B220" s="464"/>
      <c r="C220" s="464"/>
      <c r="D220" s="567"/>
      <c r="E220" s="464"/>
      <c r="F220" s="464"/>
      <c r="G220" s="464"/>
      <c r="H220" s="464"/>
      <c r="I220" s="464"/>
      <c r="J220" s="464"/>
      <c r="K220" s="464"/>
      <c r="L220" s="464"/>
      <c r="M220" s="464"/>
      <c r="N220" s="464"/>
      <c r="O220" s="464"/>
    </row>
    <row r="221" spans="1:15" hidden="1">
      <c r="A221" s="464"/>
      <c r="B221" s="464"/>
      <c r="C221" s="464"/>
      <c r="D221" s="567"/>
      <c r="E221" s="464"/>
      <c r="F221" s="464"/>
      <c r="G221" s="464"/>
      <c r="H221" s="464"/>
      <c r="I221" s="464"/>
      <c r="J221" s="464"/>
      <c r="K221" s="464"/>
      <c r="L221" s="464"/>
      <c r="M221" s="464"/>
      <c r="N221" s="464"/>
      <c r="O221" s="464"/>
    </row>
    <row r="222" spans="1:15" hidden="1">
      <c r="A222" s="464"/>
      <c r="B222" s="464"/>
      <c r="C222" s="464"/>
      <c r="D222" s="567"/>
      <c r="E222" s="464"/>
      <c r="F222" s="464"/>
      <c r="G222" s="464"/>
      <c r="H222" s="464"/>
      <c r="I222" s="464"/>
      <c r="J222" s="464"/>
      <c r="K222" s="464"/>
      <c r="L222" s="464"/>
      <c r="M222" s="464"/>
      <c r="N222" s="464"/>
      <c r="O222" s="464"/>
    </row>
    <row r="223" spans="1:15" hidden="1">
      <c r="A223" s="464"/>
      <c r="B223" s="464"/>
      <c r="C223" s="464"/>
      <c r="D223" s="567"/>
      <c r="E223" s="464"/>
      <c r="F223" s="464"/>
      <c r="G223" s="464"/>
      <c r="H223" s="464"/>
      <c r="I223" s="464"/>
      <c r="J223" s="464"/>
      <c r="K223" s="464"/>
      <c r="L223" s="464"/>
      <c r="M223" s="464"/>
      <c r="N223" s="464"/>
      <c r="O223" s="464"/>
    </row>
    <row r="224" spans="1:15" hidden="1">
      <c r="A224" s="464"/>
      <c r="B224" s="464"/>
      <c r="C224" s="464"/>
      <c r="D224" s="567"/>
      <c r="E224" s="464"/>
      <c r="F224" s="464"/>
      <c r="G224" s="464"/>
      <c r="H224" s="464"/>
      <c r="I224" s="464"/>
      <c r="J224" s="464"/>
      <c r="K224" s="464"/>
      <c r="L224" s="464"/>
      <c r="M224" s="464"/>
      <c r="N224" s="464"/>
      <c r="O224" s="464"/>
    </row>
    <row r="225" spans="1:15" hidden="1">
      <c r="A225" s="464"/>
      <c r="B225" s="464"/>
      <c r="C225" s="464"/>
      <c r="D225" s="567"/>
      <c r="E225" s="464"/>
      <c r="F225" s="464"/>
      <c r="G225" s="464"/>
      <c r="H225" s="464"/>
      <c r="I225" s="464"/>
      <c r="J225" s="464"/>
      <c r="K225" s="464"/>
      <c r="L225" s="464"/>
      <c r="M225" s="464"/>
      <c r="N225" s="464"/>
      <c r="O225" s="464"/>
    </row>
    <row r="226" spans="1:15" hidden="1">
      <c r="A226" s="464"/>
      <c r="B226" s="464"/>
      <c r="C226" s="464"/>
      <c r="D226" s="567"/>
      <c r="E226" s="464"/>
      <c r="F226" s="464"/>
      <c r="G226" s="464"/>
      <c r="H226" s="464"/>
      <c r="I226" s="464"/>
      <c r="J226" s="464"/>
      <c r="K226" s="464"/>
      <c r="L226" s="464"/>
      <c r="M226" s="464"/>
      <c r="N226" s="464"/>
      <c r="O226" s="464"/>
    </row>
    <row r="227" spans="1:15" hidden="1">
      <c r="A227" s="464"/>
      <c r="B227" s="464"/>
      <c r="C227" s="464"/>
      <c r="D227" s="567"/>
      <c r="E227" s="464"/>
      <c r="F227" s="464"/>
      <c r="G227" s="464"/>
      <c r="H227" s="464"/>
      <c r="I227" s="464"/>
      <c r="J227" s="464"/>
      <c r="K227" s="464"/>
      <c r="L227" s="464"/>
      <c r="M227" s="464"/>
      <c r="N227" s="464"/>
      <c r="O227" s="464"/>
    </row>
    <row r="228" spans="1:15" hidden="1">
      <c r="A228" s="464"/>
      <c r="B228" s="464"/>
      <c r="C228" s="464"/>
      <c r="D228" s="567"/>
      <c r="E228" s="464"/>
      <c r="F228" s="464"/>
      <c r="G228" s="464"/>
      <c r="H228" s="464"/>
      <c r="I228" s="464"/>
      <c r="J228" s="464"/>
      <c r="K228" s="464"/>
      <c r="L228" s="464"/>
      <c r="M228" s="464"/>
      <c r="N228" s="464"/>
      <c r="O228" s="464"/>
    </row>
    <row r="229" spans="1:15" hidden="1">
      <c r="A229" s="464"/>
      <c r="B229" s="464"/>
      <c r="C229" s="464"/>
      <c r="D229" s="567"/>
      <c r="E229" s="464"/>
      <c r="F229" s="464"/>
      <c r="G229" s="464"/>
      <c r="H229" s="464"/>
      <c r="I229" s="464"/>
      <c r="J229" s="464"/>
      <c r="K229" s="464"/>
      <c r="L229" s="464"/>
      <c r="M229" s="464"/>
      <c r="N229" s="464"/>
      <c r="O229" s="464"/>
    </row>
    <row r="230" spans="1:15" hidden="1">
      <c r="A230" s="464"/>
      <c r="B230" s="464"/>
      <c r="C230" s="464"/>
      <c r="D230" s="567"/>
      <c r="E230" s="464"/>
      <c r="F230" s="464"/>
      <c r="G230" s="464"/>
      <c r="H230" s="464"/>
      <c r="I230" s="464"/>
      <c r="J230" s="464"/>
      <c r="K230" s="464"/>
      <c r="L230" s="464"/>
      <c r="M230" s="464"/>
      <c r="N230" s="464"/>
      <c r="O230" s="464"/>
    </row>
    <row r="231" spans="1:15" hidden="1">
      <c r="A231" s="464"/>
      <c r="B231" s="464"/>
      <c r="C231" s="464"/>
      <c r="D231" s="567"/>
      <c r="E231" s="464"/>
      <c r="F231" s="464"/>
      <c r="G231" s="464"/>
      <c r="H231" s="464"/>
      <c r="I231" s="464"/>
      <c r="J231" s="464"/>
      <c r="K231" s="464"/>
      <c r="L231" s="464"/>
      <c r="M231" s="464"/>
      <c r="N231" s="464"/>
      <c r="O231" s="464"/>
    </row>
    <row r="232" spans="1:15" hidden="1">
      <c r="A232" s="464"/>
      <c r="B232" s="464"/>
      <c r="C232" s="464"/>
      <c r="D232" s="567"/>
      <c r="E232" s="464"/>
      <c r="F232" s="464"/>
      <c r="G232" s="464"/>
      <c r="H232" s="464"/>
      <c r="I232" s="464"/>
      <c r="J232" s="464"/>
      <c r="K232" s="464"/>
      <c r="L232" s="464"/>
      <c r="M232" s="464"/>
      <c r="N232" s="464"/>
      <c r="O232" s="464"/>
    </row>
    <row r="233" spans="1:15" hidden="1">
      <c r="A233" s="464"/>
      <c r="B233" s="464"/>
      <c r="C233" s="464"/>
      <c r="D233" s="567"/>
      <c r="E233" s="464"/>
      <c r="F233" s="464"/>
      <c r="G233" s="464"/>
      <c r="H233" s="464"/>
      <c r="I233" s="464"/>
      <c r="J233" s="464"/>
      <c r="K233" s="464"/>
      <c r="L233" s="464"/>
      <c r="M233" s="464"/>
      <c r="N233" s="464"/>
      <c r="O233" s="464"/>
    </row>
    <row r="234" spans="1:15" hidden="1">
      <c r="A234" s="464"/>
      <c r="B234" s="464"/>
      <c r="C234" s="464"/>
      <c r="D234" s="567"/>
      <c r="E234" s="464"/>
      <c r="F234" s="464"/>
      <c r="G234" s="464"/>
      <c r="H234" s="464"/>
      <c r="I234" s="464"/>
      <c r="J234" s="464"/>
      <c r="K234" s="464"/>
      <c r="L234" s="464"/>
      <c r="M234" s="464"/>
      <c r="N234" s="464"/>
      <c r="O234" s="464"/>
    </row>
    <row r="235" spans="1:15" hidden="1">
      <c r="A235" s="464"/>
      <c r="B235" s="464"/>
      <c r="C235" s="464"/>
      <c r="D235" s="567"/>
      <c r="E235" s="464"/>
      <c r="F235" s="464"/>
      <c r="G235" s="464"/>
      <c r="H235" s="464"/>
      <c r="I235" s="464"/>
      <c r="J235" s="464"/>
      <c r="K235" s="464"/>
      <c r="L235" s="464"/>
      <c r="M235" s="464"/>
      <c r="N235" s="464"/>
      <c r="O235" s="464"/>
    </row>
    <row r="236" spans="1:15" hidden="1">
      <c r="A236" s="464"/>
      <c r="B236" s="464"/>
      <c r="C236" s="464"/>
      <c r="D236" s="567"/>
      <c r="E236" s="464"/>
      <c r="F236" s="464"/>
      <c r="G236" s="464"/>
      <c r="H236" s="464"/>
      <c r="I236" s="464"/>
      <c r="J236" s="464"/>
      <c r="K236" s="464"/>
      <c r="L236" s="464"/>
      <c r="M236" s="464"/>
      <c r="N236" s="464"/>
      <c r="O236" s="464"/>
    </row>
    <row r="237" spans="1:15" hidden="1">
      <c r="A237" s="464"/>
      <c r="B237" s="464"/>
      <c r="C237" s="464"/>
      <c r="D237" s="567"/>
      <c r="E237" s="464"/>
      <c r="F237" s="464"/>
      <c r="G237" s="464"/>
      <c r="H237" s="464"/>
      <c r="I237" s="464"/>
      <c r="J237" s="464"/>
      <c r="K237" s="464"/>
      <c r="L237" s="464"/>
      <c r="M237" s="464"/>
      <c r="N237" s="464"/>
      <c r="O237" s="464"/>
    </row>
    <row r="238" spans="1:15" hidden="1">
      <c r="A238" s="464"/>
      <c r="B238" s="464"/>
      <c r="C238" s="464"/>
      <c r="D238" s="567"/>
      <c r="E238" s="464"/>
      <c r="F238" s="464"/>
      <c r="G238" s="464"/>
      <c r="H238" s="464"/>
      <c r="I238" s="464"/>
      <c r="J238" s="464"/>
      <c r="K238" s="464"/>
      <c r="L238" s="464"/>
      <c r="M238" s="464"/>
      <c r="N238" s="464"/>
      <c r="O238" s="464"/>
    </row>
    <row r="239" spans="1:15" hidden="1">
      <c r="A239" s="464"/>
      <c r="B239" s="464"/>
      <c r="C239" s="464"/>
      <c r="D239" s="567"/>
      <c r="E239" s="464"/>
      <c r="F239" s="464"/>
      <c r="G239" s="464"/>
      <c r="H239" s="464"/>
      <c r="I239" s="464"/>
      <c r="J239" s="464"/>
      <c r="K239" s="464"/>
      <c r="L239" s="464"/>
      <c r="M239" s="464"/>
      <c r="N239" s="464"/>
      <c r="O239" s="464"/>
    </row>
    <row r="240" spans="1:15" hidden="1">
      <c r="A240" s="464"/>
      <c r="B240" s="464"/>
      <c r="C240" s="464"/>
      <c r="D240" s="567"/>
      <c r="E240" s="464"/>
      <c r="F240" s="464"/>
      <c r="G240" s="464"/>
      <c r="H240" s="464"/>
      <c r="I240" s="464"/>
      <c r="J240" s="464"/>
      <c r="K240" s="464"/>
      <c r="L240" s="464"/>
      <c r="M240" s="464"/>
      <c r="N240" s="464"/>
      <c r="O240" s="464"/>
    </row>
    <row r="241" spans="1:15" hidden="1">
      <c r="A241" s="464"/>
      <c r="B241" s="464"/>
      <c r="C241" s="464"/>
      <c r="D241" s="567"/>
      <c r="E241" s="464"/>
      <c r="F241" s="464"/>
      <c r="G241" s="464"/>
      <c r="H241" s="464"/>
      <c r="I241" s="464"/>
      <c r="J241" s="464"/>
      <c r="K241" s="464"/>
      <c r="L241" s="464"/>
      <c r="M241" s="464"/>
      <c r="N241" s="464"/>
      <c r="O241" s="464"/>
    </row>
    <row r="242" spans="1:15" hidden="1">
      <c r="A242" s="464"/>
      <c r="B242" s="464"/>
      <c r="C242" s="464"/>
      <c r="D242" s="567"/>
      <c r="E242" s="464"/>
      <c r="F242" s="464"/>
      <c r="G242" s="464"/>
      <c r="H242" s="464"/>
      <c r="I242" s="464"/>
      <c r="J242" s="464"/>
      <c r="K242" s="464"/>
      <c r="L242" s="464"/>
      <c r="M242" s="464"/>
      <c r="N242" s="464"/>
      <c r="O242" s="464"/>
    </row>
    <row r="243" spans="1:15" hidden="1">
      <c r="A243" s="464"/>
      <c r="B243" s="464"/>
      <c r="C243" s="464"/>
      <c r="D243" s="567"/>
      <c r="E243" s="464"/>
      <c r="F243" s="464"/>
      <c r="G243" s="464"/>
      <c r="H243" s="464"/>
      <c r="I243" s="464"/>
      <c r="J243" s="464"/>
      <c r="K243" s="464"/>
      <c r="L243" s="464"/>
      <c r="M243" s="464"/>
      <c r="N243" s="464"/>
      <c r="O243" s="464"/>
    </row>
    <row r="244" spans="1:15" hidden="1">
      <c r="A244" s="464"/>
      <c r="B244" s="464"/>
      <c r="C244" s="464"/>
      <c r="D244" s="567"/>
      <c r="E244" s="464"/>
      <c r="F244" s="464"/>
      <c r="G244" s="464"/>
      <c r="H244" s="464"/>
      <c r="I244" s="464"/>
      <c r="J244" s="464"/>
      <c r="K244" s="464"/>
      <c r="L244" s="464"/>
      <c r="M244" s="464"/>
      <c r="N244" s="464"/>
      <c r="O244" s="464"/>
    </row>
    <row r="245" spans="1:15" hidden="1">
      <c r="A245" s="464"/>
      <c r="B245" s="464"/>
      <c r="C245" s="464"/>
      <c r="D245" s="567"/>
      <c r="E245" s="464"/>
      <c r="F245" s="464"/>
      <c r="G245" s="464"/>
      <c r="H245" s="464"/>
      <c r="I245" s="464"/>
      <c r="J245" s="464"/>
      <c r="K245" s="464"/>
      <c r="L245" s="464"/>
      <c r="M245" s="464"/>
      <c r="N245" s="464"/>
      <c r="O245" s="464"/>
    </row>
    <row r="246" spans="1:15" hidden="1">
      <c r="A246" s="464"/>
      <c r="B246" s="464"/>
      <c r="C246" s="464"/>
      <c r="D246" s="567"/>
      <c r="E246" s="464"/>
      <c r="F246" s="464"/>
      <c r="G246" s="464"/>
      <c r="H246" s="464"/>
      <c r="I246" s="464"/>
      <c r="J246" s="464"/>
      <c r="K246" s="464"/>
      <c r="L246" s="464"/>
      <c r="M246" s="464"/>
      <c r="N246" s="464"/>
      <c r="O246" s="464"/>
    </row>
    <row r="247" spans="1:15" hidden="1">
      <c r="A247" s="464"/>
      <c r="B247" s="464"/>
      <c r="C247" s="464"/>
      <c r="D247" s="567"/>
      <c r="E247" s="464"/>
      <c r="F247" s="464"/>
      <c r="G247" s="464"/>
      <c r="H247" s="464"/>
      <c r="I247" s="464"/>
      <c r="J247" s="464"/>
      <c r="K247" s="464"/>
      <c r="L247" s="464"/>
      <c r="M247" s="464"/>
      <c r="N247" s="464"/>
      <c r="O247" s="464"/>
    </row>
    <row r="248" spans="1:15" hidden="1">
      <c r="A248" s="464"/>
      <c r="B248" s="464"/>
      <c r="C248" s="464"/>
      <c r="D248" s="464"/>
      <c r="E248" s="464"/>
      <c r="F248" s="464"/>
      <c r="G248" s="464"/>
      <c r="H248" s="464"/>
      <c r="I248" s="464"/>
      <c r="J248" s="464"/>
      <c r="K248" s="464"/>
      <c r="L248" s="464"/>
      <c r="M248" s="464"/>
      <c r="N248" s="464"/>
      <c r="O248" s="464"/>
    </row>
    <row r="249" spans="1:15" hidden="1">
      <c r="A249" s="464"/>
      <c r="B249" s="464"/>
      <c r="C249" s="464"/>
      <c r="D249" s="567"/>
      <c r="E249" s="464"/>
      <c r="F249" s="464"/>
      <c r="G249" s="464"/>
      <c r="H249" s="464"/>
      <c r="I249" s="464"/>
      <c r="J249" s="464"/>
      <c r="K249" s="464"/>
      <c r="L249" s="464"/>
      <c r="M249" s="464"/>
      <c r="N249" s="464"/>
      <c r="O249" s="464"/>
    </row>
    <row r="250" spans="1:15" hidden="1">
      <c r="A250" s="464"/>
      <c r="B250" s="464"/>
      <c r="C250" s="464"/>
      <c r="D250" s="567"/>
      <c r="E250" s="464"/>
      <c r="F250" s="464"/>
      <c r="G250" s="464"/>
      <c r="H250" s="464"/>
      <c r="I250" s="464"/>
      <c r="J250" s="464"/>
      <c r="K250" s="464"/>
      <c r="L250" s="464"/>
      <c r="M250" s="464"/>
      <c r="N250" s="464"/>
      <c r="O250" s="464"/>
    </row>
    <row r="251" spans="1:15" hidden="1">
      <c r="A251" s="464"/>
      <c r="B251" s="464"/>
      <c r="C251" s="464"/>
      <c r="D251" s="567"/>
      <c r="E251" s="464"/>
      <c r="F251" s="464"/>
      <c r="G251" s="464"/>
      <c r="H251" s="464"/>
      <c r="I251" s="464"/>
      <c r="J251" s="464"/>
      <c r="K251" s="464"/>
      <c r="L251" s="464"/>
      <c r="M251" s="464"/>
      <c r="N251" s="464"/>
      <c r="O251" s="464"/>
    </row>
    <row r="252" spans="1:15" hidden="1">
      <c r="A252" s="464"/>
      <c r="B252" s="464"/>
      <c r="C252" s="464"/>
      <c r="D252" s="567"/>
      <c r="E252" s="464"/>
      <c r="F252" s="464"/>
      <c r="G252" s="464"/>
      <c r="H252" s="464"/>
      <c r="I252" s="464"/>
      <c r="J252" s="464"/>
      <c r="K252" s="464"/>
      <c r="L252" s="464"/>
      <c r="M252" s="464"/>
      <c r="N252" s="464"/>
      <c r="O252" s="464"/>
    </row>
    <row r="253" spans="1:15" hidden="1">
      <c r="A253" s="464"/>
      <c r="B253" s="464"/>
      <c r="C253" s="464"/>
      <c r="D253" s="567"/>
      <c r="E253" s="464"/>
      <c r="F253" s="464"/>
      <c r="G253" s="464"/>
      <c r="H253" s="464"/>
      <c r="I253" s="464"/>
      <c r="J253" s="464"/>
      <c r="K253" s="464"/>
      <c r="L253" s="464"/>
      <c r="M253" s="464"/>
      <c r="N253" s="464"/>
      <c r="O253" s="464"/>
    </row>
    <row r="254" spans="1:15" hidden="1">
      <c r="A254" s="464"/>
      <c r="B254" s="464"/>
      <c r="C254" s="464"/>
      <c r="D254" s="567"/>
      <c r="E254" s="464"/>
      <c r="F254" s="464"/>
      <c r="G254" s="464"/>
      <c r="H254" s="464"/>
      <c r="I254" s="464"/>
      <c r="J254" s="464"/>
      <c r="K254" s="464"/>
      <c r="L254" s="464"/>
      <c r="M254" s="464"/>
      <c r="N254" s="464"/>
      <c r="O254" s="464"/>
    </row>
    <row r="255" spans="1:15" hidden="1">
      <c r="A255" s="464"/>
      <c r="B255" s="464"/>
      <c r="C255" s="464"/>
      <c r="D255" s="567"/>
      <c r="E255" s="464"/>
      <c r="F255" s="464"/>
      <c r="G255" s="464"/>
      <c r="H255" s="464"/>
      <c r="I255" s="464"/>
      <c r="J255" s="464"/>
      <c r="K255" s="464"/>
      <c r="L255" s="464"/>
      <c r="M255" s="464"/>
      <c r="N255" s="464"/>
      <c r="O255" s="464"/>
    </row>
    <row r="256" spans="1:15" hidden="1">
      <c r="A256" s="464"/>
      <c r="B256" s="464"/>
      <c r="C256" s="464"/>
      <c r="D256" s="567"/>
      <c r="E256" s="464"/>
      <c r="F256" s="464"/>
      <c r="G256" s="464"/>
      <c r="H256" s="464"/>
      <c r="I256" s="464"/>
      <c r="J256" s="464"/>
      <c r="K256" s="464"/>
      <c r="L256" s="464"/>
      <c r="M256" s="464"/>
      <c r="N256" s="464"/>
      <c r="O256" s="464"/>
    </row>
    <row r="257" spans="1:15" hidden="1">
      <c r="A257" s="464"/>
      <c r="B257" s="464"/>
      <c r="C257" s="464"/>
      <c r="D257" s="567"/>
      <c r="E257" s="464"/>
      <c r="F257" s="464"/>
      <c r="G257" s="464"/>
      <c r="H257" s="464"/>
      <c r="I257" s="464"/>
      <c r="J257" s="464"/>
      <c r="K257" s="464"/>
      <c r="L257" s="464"/>
      <c r="M257" s="464"/>
      <c r="N257" s="464"/>
      <c r="O257" s="464"/>
    </row>
    <row r="258" spans="1:15" hidden="1">
      <c r="A258" s="464"/>
      <c r="B258" s="464"/>
      <c r="C258" s="464"/>
      <c r="D258" s="567"/>
      <c r="E258" s="464"/>
      <c r="F258" s="464"/>
      <c r="G258" s="464"/>
      <c r="H258" s="464"/>
      <c r="I258" s="464"/>
      <c r="J258" s="464"/>
      <c r="K258" s="464"/>
      <c r="L258" s="464"/>
      <c r="M258" s="464"/>
      <c r="N258" s="464"/>
      <c r="O258" s="464"/>
    </row>
    <row r="259" spans="1:15" hidden="1">
      <c r="A259" s="464"/>
      <c r="B259" s="464"/>
      <c r="C259" s="464"/>
      <c r="D259" s="567"/>
      <c r="E259" s="464"/>
      <c r="F259" s="464"/>
      <c r="G259" s="464"/>
      <c r="H259" s="464"/>
      <c r="I259" s="464"/>
      <c r="J259" s="464"/>
      <c r="K259" s="464"/>
      <c r="L259" s="464"/>
      <c r="M259" s="464"/>
      <c r="N259" s="464"/>
      <c r="O259" s="464"/>
    </row>
    <row r="260" spans="1:15" hidden="1">
      <c r="A260" s="464"/>
      <c r="B260" s="464"/>
      <c r="C260" s="464"/>
      <c r="D260" s="567"/>
      <c r="E260" s="464"/>
      <c r="F260" s="464"/>
      <c r="G260" s="464"/>
      <c r="H260" s="464"/>
      <c r="I260" s="464"/>
      <c r="J260" s="464"/>
      <c r="K260" s="464"/>
      <c r="L260" s="464"/>
      <c r="M260" s="464"/>
      <c r="N260" s="464"/>
      <c r="O260" s="464"/>
    </row>
    <row r="261" spans="1:15" hidden="1">
      <c r="A261" s="464"/>
      <c r="B261" s="464"/>
      <c r="C261" s="464"/>
      <c r="D261" s="567"/>
      <c r="E261" s="464"/>
      <c r="F261" s="464"/>
      <c r="G261" s="464"/>
      <c r="H261" s="464"/>
      <c r="I261" s="464"/>
      <c r="J261" s="464"/>
      <c r="K261" s="464"/>
      <c r="L261" s="464"/>
      <c r="M261" s="464"/>
      <c r="N261" s="464"/>
      <c r="O261" s="464"/>
    </row>
    <row r="262" spans="1:15" hidden="1">
      <c r="A262" s="464"/>
      <c r="B262" s="464"/>
      <c r="C262" s="464"/>
      <c r="D262" s="567"/>
      <c r="E262" s="464"/>
      <c r="F262" s="464"/>
      <c r="G262" s="464"/>
      <c r="H262" s="464"/>
      <c r="I262" s="464"/>
      <c r="J262" s="464"/>
      <c r="K262" s="464"/>
      <c r="L262" s="464"/>
      <c r="M262" s="464"/>
      <c r="N262" s="464"/>
      <c r="O262" s="464"/>
    </row>
    <row r="263" spans="1:15" hidden="1">
      <c r="A263" s="464"/>
      <c r="B263" s="464"/>
      <c r="C263" s="464"/>
      <c r="D263" s="567"/>
      <c r="E263" s="464"/>
      <c r="F263" s="464"/>
      <c r="G263" s="464"/>
      <c r="H263" s="464"/>
      <c r="I263" s="464"/>
      <c r="J263" s="464"/>
      <c r="K263" s="464"/>
      <c r="L263" s="464"/>
      <c r="M263" s="464"/>
      <c r="N263" s="464"/>
      <c r="O263" s="464"/>
    </row>
    <row r="264" spans="1:15" hidden="1">
      <c r="A264" s="464"/>
      <c r="B264" s="464"/>
      <c r="C264" s="464"/>
      <c r="D264" s="567"/>
      <c r="E264" s="464"/>
      <c r="F264" s="464"/>
      <c r="G264" s="464"/>
      <c r="H264" s="464"/>
      <c r="I264" s="464"/>
      <c r="J264" s="464"/>
      <c r="K264" s="464"/>
      <c r="L264" s="464"/>
      <c r="M264" s="464"/>
      <c r="N264" s="464"/>
      <c r="O264" s="464"/>
    </row>
    <row r="265" spans="1:15" hidden="1">
      <c r="A265" s="464"/>
      <c r="B265" s="464"/>
      <c r="C265" s="464"/>
      <c r="D265" s="567"/>
      <c r="E265" s="464"/>
      <c r="F265" s="464"/>
      <c r="G265" s="464"/>
      <c r="H265" s="464"/>
      <c r="I265" s="464"/>
      <c r="J265" s="464"/>
      <c r="K265" s="464"/>
      <c r="L265" s="464"/>
      <c r="M265" s="464"/>
      <c r="N265" s="464"/>
      <c r="O265" s="464"/>
    </row>
    <row r="266" spans="1:15" hidden="1">
      <c r="A266" s="464"/>
      <c r="B266" s="464"/>
      <c r="C266" s="464"/>
      <c r="D266" s="567"/>
      <c r="E266" s="464"/>
      <c r="F266" s="464"/>
      <c r="G266" s="464"/>
      <c r="H266" s="464"/>
      <c r="I266" s="464"/>
      <c r="J266" s="464"/>
      <c r="K266" s="464"/>
      <c r="L266" s="464"/>
      <c r="M266" s="464"/>
      <c r="N266" s="464"/>
      <c r="O266" s="464"/>
    </row>
    <row r="267" spans="1:15" hidden="1">
      <c r="A267" s="464"/>
      <c r="B267" s="464"/>
      <c r="C267" s="464"/>
      <c r="D267" s="464"/>
      <c r="E267" s="464"/>
      <c r="F267" s="464"/>
      <c r="G267" s="464"/>
      <c r="H267" s="464"/>
      <c r="I267" s="464"/>
      <c r="J267" s="464"/>
      <c r="K267" s="464"/>
      <c r="L267" s="464"/>
      <c r="M267" s="464"/>
      <c r="N267" s="464"/>
      <c r="O267" s="464"/>
    </row>
    <row r="268" spans="1:15" hidden="1">
      <c r="A268" s="464"/>
      <c r="B268" s="464"/>
      <c r="C268" s="464"/>
      <c r="D268" s="567"/>
      <c r="E268" s="567"/>
      <c r="F268" s="464"/>
      <c r="G268" s="464"/>
      <c r="H268" s="464"/>
      <c r="I268" s="464"/>
      <c r="J268" s="464"/>
      <c r="K268" s="464"/>
      <c r="L268" s="464"/>
      <c r="M268" s="464"/>
      <c r="N268" s="464"/>
      <c r="O268" s="464"/>
    </row>
    <row r="269" spans="1:15" hidden="1">
      <c r="A269" s="464"/>
      <c r="B269" s="464"/>
      <c r="C269" s="464"/>
      <c r="D269" s="567"/>
      <c r="E269" s="567"/>
      <c r="F269" s="464"/>
      <c r="G269" s="464"/>
      <c r="H269" s="464"/>
      <c r="I269" s="464"/>
      <c r="J269" s="464"/>
      <c r="K269" s="464"/>
      <c r="L269" s="464"/>
      <c r="M269" s="464"/>
      <c r="N269" s="464"/>
      <c r="O269" s="464"/>
    </row>
    <row r="270" spans="1:15" hidden="1">
      <c r="A270" s="464"/>
      <c r="B270" s="464"/>
      <c r="C270" s="464"/>
      <c r="D270" s="567"/>
      <c r="E270" s="567"/>
      <c r="F270" s="464"/>
      <c r="G270" s="464"/>
      <c r="H270" s="464"/>
      <c r="I270" s="464"/>
      <c r="J270" s="464"/>
      <c r="K270" s="464"/>
      <c r="L270" s="464"/>
      <c r="M270" s="464"/>
      <c r="N270" s="464"/>
      <c r="O270" s="464"/>
    </row>
    <row r="271" spans="1:15" hidden="1">
      <c r="A271" s="464"/>
      <c r="B271" s="464"/>
      <c r="C271" s="464"/>
      <c r="D271" s="567"/>
      <c r="E271" s="567"/>
      <c r="F271" s="464"/>
      <c r="G271" s="464"/>
      <c r="H271" s="464"/>
      <c r="I271" s="464"/>
      <c r="J271" s="464"/>
      <c r="K271" s="464"/>
      <c r="L271" s="464"/>
      <c r="M271" s="464"/>
      <c r="N271" s="464"/>
      <c r="O271" s="464"/>
    </row>
    <row r="272" spans="1:15" hidden="1">
      <c r="A272" s="464"/>
      <c r="B272" s="464"/>
      <c r="C272" s="464"/>
      <c r="D272" s="567"/>
      <c r="E272" s="567"/>
      <c r="F272" s="464"/>
      <c r="G272" s="464"/>
      <c r="H272" s="464"/>
      <c r="I272" s="464"/>
      <c r="J272" s="464"/>
      <c r="K272" s="464"/>
      <c r="L272" s="464"/>
      <c r="M272" s="464"/>
      <c r="N272" s="464"/>
      <c r="O272" s="464"/>
    </row>
    <row r="273" spans="1:15" hidden="1">
      <c r="A273" s="464"/>
      <c r="B273" s="464"/>
      <c r="C273" s="464"/>
      <c r="D273" s="567"/>
      <c r="E273" s="567"/>
      <c r="F273" s="464"/>
      <c r="G273" s="464"/>
      <c r="H273" s="464"/>
      <c r="I273" s="464"/>
      <c r="J273" s="464"/>
      <c r="K273" s="464"/>
      <c r="L273" s="464"/>
      <c r="M273" s="464"/>
      <c r="N273" s="464"/>
      <c r="O273" s="464"/>
    </row>
    <row r="274" spans="1:15" hidden="1">
      <c r="A274" s="464"/>
      <c r="B274" s="464"/>
      <c r="C274" s="464"/>
      <c r="D274" s="567"/>
      <c r="E274" s="567"/>
      <c r="F274" s="464"/>
      <c r="G274" s="464"/>
      <c r="H274" s="464"/>
      <c r="I274" s="464"/>
      <c r="J274" s="464"/>
      <c r="K274" s="464"/>
      <c r="L274" s="464"/>
      <c r="M274" s="464"/>
      <c r="N274" s="464"/>
      <c r="O274" s="464"/>
    </row>
    <row r="275" spans="1:15" hidden="1">
      <c r="A275" s="464"/>
      <c r="B275" s="464"/>
      <c r="C275" s="464"/>
      <c r="D275" s="567"/>
      <c r="E275" s="567"/>
      <c r="F275" s="464"/>
      <c r="G275" s="464"/>
      <c r="H275" s="464"/>
      <c r="I275" s="464"/>
      <c r="J275" s="464"/>
      <c r="K275" s="464"/>
      <c r="L275" s="464"/>
      <c r="M275" s="464"/>
      <c r="N275" s="464"/>
      <c r="O275" s="464"/>
    </row>
    <row r="276" spans="1:15" hidden="1">
      <c r="A276" s="464"/>
      <c r="B276" s="464"/>
      <c r="C276" s="464"/>
      <c r="D276" s="567"/>
      <c r="E276" s="567"/>
      <c r="F276" s="464"/>
      <c r="G276" s="464"/>
      <c r="H276" s="464"/>
      <c r="I276" s="464"/>
      <c r="J276" s="464"/>
      <c r="K276" s="464"/>
      <c r="L276" s="464"/>
      <c r="M276" s="464"/>
      <c r="N276" s="464"/>
      <c r="O276" s="464"/>
    </row>
    <row r="277" spans="1:15" hidden="1">
      <c r="A277" s="464"/>
      <c r="B277" s="464"/>
      <c r="C277" s="464"/>
      <c r="D277" s="567"/>
      <c r="E277" s="567"/>
      <c r="F277" s="464"/>
      <c r="G277" s="464"/>
      <c r="H277" s="464"/>
      <c r="I277" s="464"/>
      <c r="J277" s="464"/>
      <c r="K277" s="464"/>
      <c r="L277" s="464"/>
      <c r="M277" s="464"/>
      <c r="N277" s="464"/>
      <c r="O277" s="464"/>
    </row>
    <row r="278" spans="1:15" hidden="1">
      <c r="A278" s="464"/>
      <c r="B278" s="464"/>
      <c r="C278" s="464"/>
      <c r="D278" s="567"/>
      <c r="E278" s="567"/>
      <c r="F278" s="464"/>
      <c r="G278" s="464"/>
      <c r="H278" s="464"/>
      <c r="I278" s="464"/>
      <c r="J278" s="464"/>
      <c r="K278" s="464"/>
      <c r="L278" s="464"/>
      <c r="M278" s="464"/>
      <c r="N278" s="464"/>
      <c r="O278" s="464"/>
    </row>
    <row r="279" spans="1:15" hidden="1">
      <c r="A279" s="464"/>
      <c r="B279" s="464"/>
      <c r="C279" s="464"/>
      <c r="D279" s="567"/>
      <c r="E279" s="567"/>
      <c r="F279" s="464"/>
      <c r="G279" s="464"/>
      <c r="H279" s="464"/>
      <c r="I279" s="464"/>
      <c r="J279" s="464"/>
      <c r="K279" s="464"/>
      <c r="L279" s="464"/>
      <c r="M279" s="464"/>
      <c r="N279" s="464"/>
      <c r="O279" s="464"/>
    </row>
    <row r="280" spans="1:15" hidden="1">
      <c r="A280" s="464"/>
      <c r="B280" s="464"/>
      <c r="C280" s="464"/>
      <c r="D280" s="567"/>
      <c r="E280" s="567"/>
      <c r="F280" s="464"/>
      <c r="G280" s="464"/>
      <c r="H280" s="464"/>
      <c r="I280" s="464"/>
      <c r="J280" s="464"/>
      <c r="K280" s="464"/>
      <c r="L280" s="464"/>
      <c r="M280" s="464"/>
      <c r="N280" s="464"/>
      <c r="O280" s="464"/>
    </row>
    <row r="281" spans="1:15" hidden="1">
      <c r="A281" s="464"/>
      <c r="B281" s="464"/>
      <c r="C281" s="464"/>
      <c r="D281" s="567"/>
      <c r="E281" s="567"/>
      <c r="F281" s="464"/>
      <c r="G281" s="464"/>
      <c r="H281" s="464"/>
      <c r="I281" s="464"/>
      <c r="J281" s="464"/>
      <c r="K281" s="464"/>
      <c r="L281" s="464"/>
      <c r="M281" s="464"/>
      <c r="N281" s="464"/>
      <c r="O281" s="464"/>
    </row>
    <row r="282" spans="1:15" hidden="1">
      <c r="A282" s="464"/>
      <c r="B282" s="464"/>
      <c r="C282" s="464"/>
      <c r="D282" s="567"/>
      <c r="E282" s="567"/>
      <c r="F282" s="464"/>
      <c r="G282" s="464"/>
      <c r="H282" s="464"/>
      <c r="I282" s="464"/>
      <c r="J282" s="464"/>
      <c r="K282" s="464"/>
      <c r="L282" s="464"/>
      <c r="M282" s="464"/>
      <c r="N282" s="464"/>
      <c r="O282" s="464"/>
    </row>
    <row r="283" spans="1:15" hidden="1">
      <c r="A283" s="464"/>
      <c r="B283" s="464"/>
      <c r="C283" s="464"/>
      <c r="D283" s="464"/>
      <c r="E283" s="464"/>
      <c r="F283" s="464"/>
      <c r="G283" s="464"/>
      <c r="H283" s="464"/>
      <c r="I283" s="464"/>
      <c r="J283" s="464"/>
      <c r="K283" s="464"/>
      <c r="L283" s="464"/>
      <c r="M283" s="464"/>
      <c r="N283" s="464"/>
      <c r="O283" s="464"/>
    </row>
    <row r="284" spans="1:15" hidden="1">
      <c r="A284" s="464"/>
      <c r="B284" s="464"/>
      <c r="C284" s="464"/>
      <c r="D284" s="464"/>
      <c r="E284" s="464"/>
      <c r="F284" s="464"/>
      <c r="G284" s="464"/>
      <c r="H284" s="464"/>
      <c r="I284" s="464"/>
      <c r="J284" s="464"/>
      <c r="K284" s="464"/>
      <c r="L284" s="464"/>
      <c r="M284" s="464"/>
      <c r="N284" s="464"/>
      <c r="O284" s="464"/>
    </row>
    <row r="285" spans="1:15" hidden="1">
      <c r="A285" s="464"/>
      <c r="B285" s="464"/>
      <c r="C285" s="464"/>
      <c r="D285" s="464"/>
      <c r="E285" s="464"/>
      <c r="F285" s="464"/>
      <c r="G285" s="464"/>
      <c r="H285" s="464"/>
      <c r="I285" s="464"/>
      <c r="J285" s="464"/>
      <c r="K285" s="464"/>
      <c r="L285" s="464"/>
      <c r="M285" s="464"/>
      <c r="N285" s="464"/>
      <c r="O285" s="464"/>
    </row>
    <row r="286" spans="1:15" hidden="1">
      <c r="A286" s="464"/>
      <c r="B286" s="464"/>
      <c r="C286" s="464"/>
      <c r="D286" s="464"/>
      <c r="E286" s="464"/>
      <c r="F286" s="464"/>
      <c r="G286" s="464"/>
      <c r="H286" s="464"/>
      <c r="I286" s="464"/>
      <c r="J286" s="464"/>
      <c r="K286" s="464"/>
      <c r="L286" s="464"/>
      <c r="M286" s="464"/>
      <c r="N286" s="464"/>
      <c r="O286" s="464"/>
    </row>
    <row r="287" spans="1:15" hidden="1">
      <c r="A287" s="464"/>
      <c r="B287" s="464"/>
      <c r="C287" s="464"/>
      <c r="D287" s="464"/>
      <c r="E287" s="464"/>
      <c r="F287" s="464"/>
      <c r="G287" s="464"/>
      <c r="H287" s="464"/>
      <c r="I287" s="464"/>
      <c r="J287" s="464"/>
      <c r="K287" s="464"/>
      <c r="L287" s="464"/>
      <c r="M287" s="464"/>
      <c r="N287" s="464"/>
      <c r="O287" s="464"/>
    </row>
    <row r="288" spans="1:15" hidden="1">
      <c r="A288" s="464"/>
      <c r="B288" s="464"/>
      <c r="C288" s="464"/>
      <c r="D288" s="464"/>
      <c r="E288" s="464"/>
      <c r="F288" s="464"/>
      <c r="G288" s="464"/>
      <c r="H288" s="464"/>
      <c r="I288" s="464"/>
      <c r="J288" s="464"/>
      <c r="K288" s="464"/>
      <c r="L288" s="464"/>
      <c r="M288" s="464"/>
      <c r="N288" s="464"/>
      <c r="O288" s="464"/>
    </row>
    <row r="289" spans="1:15" hidden="1">
      <c r="A289" s="464"/>
      <c r="B289" s="464"/>
      <c r="C289" s="464"/>
      <c r="D289" s="464"/>
      <c r="E289" s="464"/>
      <c r="F289" s="464"/>
      <c r="G289" s="464"/>
      <c r="H289" s="464"/>
      <c r="I289" s="464"/>
      <c r="J289" s="464"/>
      <c r="K289" s="464"/>
      <c r="L289" s="464"/>
      <c r="M289" s="464"/>
      <c r="N289" s="464"/>
      <c r="O289" s="464"/>
    </row>
    <row r="290" spans="1:15" hidden="1">
      <c r="A290" s="464"/>
      <c r="B290" s="464"/>
      <c r="C290" s="464"/>
      <c r="D290" s="464"/>
      <c r="E290" s="464"/>
      <c r="F290" s="464"/>
      <c r="G290" s="464"/>
      <c r="H290" s="464"/>
      <c r="I290" s="464"/>
      <c r="J290" s="464"/>
      <c r="K290" s="464"/>
      <c r="L290" s="464"/>
      <c r="M290" s="464"/>
      <c r="N290" s="464"/>
      <c r="O290" s="464"/>
    </row>
    <row r="291" spans="1:15" hidden="1">
      <c r="A291" s="464"/>
      <c r="B291" s="464"/>
      <c r="C291" s="464"/>
      <c r="D291" s="464"/>
      <c r="E291" s="464"/>
      <c r="F291" s="464"/>
      <c r="G291" s="464"/>
      <c r="H291" s="464"/>
      <c r="I291" s="464"/>
      <c r="J291" s="464"/>
      <c r="K291" s="464"/>
      <c r="L291" s="464"/>
      <c r="M291" s="464"/>
      <c r="N291" s="464"/>
      <c r="O291" s="464"/>
    </row>
    <row r="292" spans="1:15" hidden="1">
      <c r="A292" s="464"/>
      <c r="B292" s="464"/>
      <c r="C292" s="464"/>
      <c r="D292" s="464"/>
      <c r="E292" s="464"/>
      <c r="F292" s="464"/>
      <c r="G292" s="464"/>
      <c r="H292" s="464"/>
      <c r="I292" s="464"/>
      <c r="J292" s="464"/>
      <c r="K292" s="464"/>
      <c r="L292" s="464"/>
      <c r="M292" s="464"/>
      <c r="N292" s="464"/>
      <c r="O292" s="464"/>
    </row>
    <row r="293" spans="1:15" ht="14.4" hidden="1">
      <c r="A293" s="464"/>
      <c r="B293" s="464"/>
      <c r="C293" s="7"/>
      <c r="D293" s="464"/>
      <c r="E293" s="464"/>
      <c r="F293" s="464"/>
      <c r="G293" s="464"/>
      <c r="H293" s="464"/>
      <c r="I293" s="464"/>
      <c r="J293" s="464"/>
      <c r="K293" s="464"/>
      <c r="L293" s="464"/>
      <c r="M293" s="464"/>
      <c r="N293" s="464"/>
      <c r="O293" s="464"/>
    </row>
    <row r="294" spans="1:15" ht="14.4" hidden="1">
      <c r="A294" s="464"/>
      <c r="B294" s="464"/>
      <c r="C294" s="7"/>
      <c r="D294" s="464"/>
      <c r="E294" s="464"/>
      <c r="F294" s="464"/>
      <c r="G294" s="464"/>
      <c r="H294" s="464"/>
      <c r="I294" s="464"/>
      <c r="J294" s="464"/>
      <c r="K294" s="464"/>
      <c r="L294" s="464"/>
      <c r="M294" s="464"/>
      <c r="N294" s="464"/>
      <c r="O294" s="464"/>
    </row>
    <row r="295" spans="1:15" ht="14.4" hidden="1">
      <c r="A295" s="464"/>
      <c r="B295" s="464"/>
      <c r="C295" s="7"/>
      <c r="D295" s="464"/>
      <c r="E295" s="464"/>
      <c r="F295" s="464"/>
      <c r="G295" s="464"/>
      <c r="H295" s="464"/>
      <c r="I295" s="464"/>
      <c r="J295" s="464"/>
      <c r="K295" s="464"/>
      <c r="L295" s="464"/>
      <c r="M295" s="464"/>
      <c r="N295" s="464"/>
      <c r="O295" s="464"/>
    </row>
    <row r="296" spans="1:15" hidden="1">
      <c r="A296" s="464"/>
      <c r="B296" s="464"/>
      <c r="C296" s="464"/>
      <c r="D296" s="464"/>
      <c r="E296" s="464"/>
      <c r="F296" s="464"/>
      <c r="G296" s="464"/>
      <c r="H296" s="464"/>
      <c r="I296" s="464"/>
      <c r="J296" s="464"/>
      <c r="K296" s="464"/>
      <c r="L296" s="464"/>
      <c r="M296" s="464"/>
      <c r="N296" s="464"/>
      <c r="O296" s="464"/>
    </row>
    <row r="297" spans="1:15" hidden="1">
      <c r="A297" s="464"/>
      <c r="B297" s="464"/>
      <c r="C297" s="464"/>
      <c r="D297" s="464"/>
      <c r="E297" s="464"/>
      <c r="F297" s="464"/>
      <c r="G297" s="464"/>
      <c r="H297" s="464"/>
      <c r="I297" s="464"/>
      <c r="J297" s="464"/>
      <c r="K297" s="464"/>
      <c r="L297" s="464"/>
      <c r="M297" s="464"/>
      <c r="N297" s="464"/>
      <c r="O297" s="464"/>
    </row>
    <row r="298" spans="1:15" hidden="1">
      <c r="A298" s="464"/>
      <c r="B298" s="464"/>
      <c r="C298" s="464"/>
      <c r="D298" s="568"/>
      <c r="E298" s="464"/>
      <c r="F298" s="464"/>
      <c r="G298" s="464"/>
      <c r="H298" s="464"/>
      <c r="I298" s="464"/>
      <c r="J298" s="464"/>
      <c r="K298" s="464"/>
      <c r="L298" s="464"/>
      <c r="M298" s="464"/>
      <c r="N298" s="464"/>
      <c r="O298" s="464"/>
    </row>
    <row r="299" spans="1:15" ht="75" hidden="1" customHeight="1">
      <c r="A299" s="464"/>
      <c r="B299" s="464"/>
      <c r="C299" s="569"/>
      <c r="D299" s="570"/>
      <c r="E299" s="1764"/>
      <c r="F299" s="1764"/>
      <c r="G299" s="464"/>
      <c r="H299" s="464"/>
      <c r="I299" s="464"/>
      <c r="J299" s="464"/>
      <c r="K299" s="464"/>
      <c r="L299" s="464"/>
      <c r="M299" s="464"/>
      <c r="N299" s="464"/>
      <c r="O299" s="464"/>
    </row>
    <row r="300" spans="1:15" ht="88.5" hidden="1" customHeight="1">
      <c r="A300" s="464"/>
      <c r="B300" s="464"/>
      <c r="C300" s="569"/>
      <c r="D300" s="570"/>
      <c r="E300" s="1764"/>
      <c r="F300" s="1764"/>
      <c r="G300" s="464"/>
      <c r="H300" s="464"/>
      <c r="I300" s="464"/>
      <c r="J300" s="464"/>
      <c r="K300" s="464"/>
      <c r="L300" s="464"/>
      <c r="M300" s="464"/>
      <c r="N300" s="464"/>
      <c r="O300" s="464"/>
    </row>
    <row r="301" spans="1:15" ht="14.4" hidden="1">
      <c r="A301" s="464"/>
      <c r="B301" s="464"/>
      <c r="C301" s="569"/>
      <c r="D301" s="570"/>
      <c r="E301" s="571"/>
      <c r="F301" s="571"/>
      <c r="G301" s="464"/>
      <c r="H301" s="464"/>
      <c r="I301" s="464"/>
      <c r="J301" s="464"/>
      <c r="K301" s="464"/>
      <c r="L301" s="464"/>
      <c r="M301" s="464"/>
      <c r="N301" s="464"/>
      <c r="O301" s="464"/>
    </row>
    <row r="302" spans="1:15" hidden="1">
      <c r="A302" s="464"/>
      <c r="B302" s="464"/>
      <c r="C302" s="464"/>
      <c r="D302" s="464"/>
      <c r="E302" s="464"/>
      <c r="F302" s="464"/>
      <c r="G302" s="464"/>
      <c r="H302" s="464"/>
      <c r="I302" s="464"/>
      <c r="J302" s="464"/>
      <c r="K302" s="464"/>
      <c r="L302" s="464"/>
      <c r="M302" s="464"/>
      <c r="N302" s="464"/>
      <c r="O302" s="464"/>
    </row>
    <row r="303" spans="1:15" hidden="1">
      <c r="A303" s="464"/>
      <c r="B303" s="464"/>
      <c r="C303" s="464"/>
      <c r="D303" s="464"/>
      <c r="E303" s="464"/>
      <c r="F303" s="464"/>
      <c r="G303" s="464"/>
      <c r="H303" s="464"/>
      <c r="I303" s="464"/>
      <c r="J303" s="464"/>
      <c r="K303" s="464"/>
      <c r="L303" s="464"/>
      <c r="M303" s="464"/>
      <c r="N303" s="464"/>
      <c r="O303" s="464"/>
    </row>
    <row r="304" spans="1:15" hidden="1">
      <c r="A304" s="464"/>
      <c r="B304" s="464"/>
      <c r="C304" s="464"/>
      <c r="D304" s="464"/>
      <c r="E304" s="464"/>
      <c r="F304" s="464"/>
      <c r="G304" s="464"/>
      <c r="H304" s="464"/>
      <c r="I304" s="464"/>
      <c r="J304" s="464"/>
      <c r="K304" s="464"/>
      <c r="L304" s="464"/>
      <c r="M304" s="464"/>
      <c r="N304" s="464"/>
      <c r="O304" s="464"/>
    </row>
    <row r="305" spans="1:15" hidden="1">
      <c r="A305" s="464"/>
      <c r="B305" s="464"/>
      <c r="C305" s="464"/>
      <c r="D305" s="464"/>
      <c r="E305" s="464"/>
      <c r="F305" s="464"/>
      <c r="G305" s="464"/>
      <c r="H305" s="464"/>
      <c r="I305" s="464"/>
      <c r="J305" s="464"/>
      <c r="K305" s="464"/>
      <c r="L305" s="464"/>
      <c r="M305" s="464"/>
      <c r="N305" s="464"/>
      <c r="O305" s="464"/>
    </row>
    <row r="306" spans="1:15" hidden="1">
      <c r="A306" s="464"/>
      <c r="B306" s="464"/>
      <c r="C306" s="464"/>
      <c r="D306" s="464"/>
      <c r="E306" s="464"/>
      <c r="F306" s="464"/>
      <c r="G306" s="464"/>
      <c r="H306" s="464"/>
      <c r="I306" s="464"/>
      <c r="J306" s="464"/>
      <c r="K306" s="464"/>
      <c r="L306" s="464"/>
      <c r="M306" s="464"/>
      <c r="N306" s="464"/>
      <c r="O306" s="464"/>
    </row>
    <row r="307" spans="1:15" hidden="1">
      <c r="A307" s="464"/>
      <c r="B307" s="572"/>
      <c r="C307" s="464"/>
      <c r="D307" s="464"/>
      <c r="E307" s="464"/>
      <c r="F307" s="464"/>
      <c r="G307" s="464"/>
      <c r="H307" s="464"/>
      <c r="I307" s="464"/>
      <c r="J307" s="464"/>
      <c r="K307" s="464"/>
      <c r="L307" s="464"/>
      <c r="M307" s="464"/>
      <c r="N307" s="464"/>
      <c r="O307" s="464"/>
    </row>
    <row r="308" spans="1:15" hidden="1">
      <c r="A308" s="464"/>
      <c r="B308" s="464"/>
      <c r="C308" s="464"/>
      <c r="D308" s="464"/>
      <c r="E308" s="464"/>
      <c r="F308" s="464"/>
      <c r="G308" s="464"/>
      <c r="H308" s="464"/>
      <c r="I308" s="464"/>
      <c r="J308" s="464"/>
      <c r="K308" s="464"/>
      <c r="L308" s="464"/>
      <c r="M308" s="464"/>
      <c r="N308" s="464"/>
      <c r="O308" s="464"/>
    </row>
    <row r="309" spans="1:15" hidden="1">
      <c r="A309" s="464"/>
      <c r="B309" s="464"/>
      <c r="C309" s="464"/>
      <c r="D309" s="464"/>
      <c r="E309" s="464"/>
      <c r="F309" s="464"/>
      <c r="G309" s="464"/>
      <c r="H309" s="464"/>
      <c r="I309" s="464"/>
      <c r="J309" s="464"/>
      <c r="K309" s="464"/>
      <c r="L309" s="464"/>
      <c r="M309" s="464"/>
      <c r="N309" s="464"/>
      <c r="O309" s="464"/>
    </row>
    <row r="310" spans="1:15" hidden="1">
      <c r="A310" s="464"/>
      <c r="B310" s="464"/>
      <c r="C310" s="464"/>
      <c r="D310" s="464"/>
      <c r="E310" s="464"/>
      <c r="F310" s="464"/>
      <c r="G310" s="464"/>
      <c r="H310" s="464"/>
      <c r="I310" s="464"/>
      <c r="J310" s="464"/>
      <c r="K310" s="464"/>
      <c r="L310" s="464"/>
      <c r="M310" s="464"/>
      <c r="N310" s="464"/>
      <c r="O310" s="464"/>
    </row>
    <row r="311" spans="1:15" hidden="1">
      <c r="A311" s="464"/>
      <c r="B311" s="464"/>
      <c r="C311" s="464"/>
      <c r="D311" s="464"/>
      <c r="E311" s="464"/>
      <c r="F311" s="464"/>
      <c r="G311" s="464"/>
      <c r="H311" s="464"/>
      <c r="I311" s="464"/>
      <c r="J311" s="464"/>
      <c r="K311" s="464"/>
      <c r="L311" s="464"/>
      <c r="M311" s="464"/>
      <c r="N311" s="464"/>
      <c r="O311" s="464"/>
    </row>
    <row r="312" spans="1:15" hidden="1">
      <c r="A312" s="464"/>
      <c r="B312" s="464"/>
      <c r="C312" s="464"/>
      <c r="D312" s="464"/>
      <c r="E312" s="464"/>
      <c r="F312" s="464"/>
      <c r="G312" s="464"/>
      <c r="H312" s="464"/>
      <c r="I312" s="464"/>
      <c r="J312" s="464"/>
      <c r="K312" s="464"/>
      <c r="L312" s="464"/>
      <c r="M312" s="464"/>
      <c r="N312" s="464"/>
      <c r="O312" s="464"/>
    </row>
    <row r="313" spans="1:15" hidden="1">
      <c r="A313" s="464"/>
      <c r="B313" s="464"/>
      <c r="C313" s="464"/>
      <c r="D313" s="464"/>
      <c r="E313" s="464"/>
      <c r="F313" s="464"/>
      <c r="G313" s="464"/>
      <c r="H313" s="464"/>
      <c r="I313" s="464"/>
      <c r="J313" s="464"/>
      <c r="K313" s="464"/>
      <c r="L313" s="464"/>
      <c r="M313" s="464"/>
      <c r="N313" s="464"/>
      <c r="O313" s="464"/>
    </row>
    <row r="314" spans="1:15" hidden="1">
      <c r="A314" s="464"/>
      <c r="B314" s="464"/>
      <c r="C314" s="464"/>
      <c r="D314" s="464"/>
      <c r="E314" s="464"/>
      <c r="F314" s="464"/>
      <c r="G314" s="464"/>
      <c r="H314" s="464"/>
      <c r="I314" s="464"/>
      <c r="J314" s="464"/>
      <c r="K314" s="464"/>
      <c r="L314" s="464"/>
      <c r="M314" s="464"/>
      <c r="N314" s="464"/>
      <c r="O314" s="464"/>
    </row>
    <row r="315" spans="1:15" hidden="1">
      <c r="A315" s="464"/>
      <c r="B315" s="464"/>
      <c r="C315" s="464"/>
      <c r="D315" s="464"/>
      <c r="E315" s="464"/>
      <c r="F315" s="464"/>
      <c r="G315" s="464"/>
      <c r="H315" s="464"/>
      <c r="I315" s="464"/>
      <c r="J315" s="464"/>
      <c r="K315" s="464"/>
      <c r="L315" s="464"/>
      <c r="M315" s="464"/>
      <c r="N315" s="464"/>
      <c r="O315" s="464"/>
    </row>
    <row r="316" spans="1:15" hidden="1">
      <c r="A316" s="464"/>
      <c r="B316" s="464"/>
      <c r="C316" s="464"/>
      <c r="D316" s="464"/>
      <c r="E316" s="464"/>
      <c r="F316" s="464"/>
      <c r="G316" s="464"/>
      <c r="H316" s="464"/>
      <c r="I316" s="464"/>
      <c r="J316" s="464"/>
      <c r="K316" s="464"/>
      <c r="L316" s="464"/>
      <c r="M316" s="464"/>
      <c r="N316" s="464"/>
      <c r="O316" s="464"/>
    </row>
    <row r="317" spans="1:15" hidden="1">
      <c r="A317" s="464"/>
      <c r="B317" s="464"/>
      <c r="C317" s="464"/>
      <c r="D317" s="464"/>
      <c r="E317" s="464"/>
      <c r="F317" s="464"/>
      <c r="G317" s="464"/>
      <c r="H317" s="464"/>
      <c r="I317" s="464"/>
      <c r="J317" s="464"/>
      <c r="K317" s="464"/>
      <c r="L317" s="464"/>
      <c r="M317" s="464"/>
      <c r="N317" s="464"/>
      <c r="O317" s="464"/>
    </row>
    <row r="318" spans="1:15" hidden="1"/>
    <row r="319" spans="1:15" hidden="1"/>
    <row r="320" spans="1:15"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row r="347"/>
    <row r="348"/>
    <row r="349"/>
    <row r="350"/>
    <row r="351"/>
    <row r="352"/>
    <row r="353"/>
    <row r="354"/>
    <row r="355"/>
    <row r="356"/>
    <row r="357"/>
    <row r="358"/>
    <row r="359"/>
  </sheetData>
  <mergeCells count="114">
    <mergeCell ref="K117:L117"/>
    <mergeCell ref="I117:J117"/>
    <mergeCell ref="G117:H117"/>
    <mergeCell ref="K116:L116"/>
    <mergeCell ref="I116:J116"/>
    <mergeCell ref="G116:H116"/>
    <mergeCell ref="K119:L119"/>
    <mergeCell ref="I119:J119"/>
    <mergeCell ref="G119:H119"/>
    <mergeCell ref="K118:L118"/>
    <mergeCell ref="I118:J118"/>
    <mergeCell ref="G118:H118"/>
    <mergeCell ref="E299:F299"/>
    <mergeCell ref="E300:F300"/>
    <mergeCell ref="D29:I29"/>
    <mergeCell ref="D24:I24"/>
    <mergeCell ref="D33:I33"/>
    <mergeCell ref="D40:I40"/>
    <mergeCell ref="D31:I31"/>
    <mergeCell ref="D32:I32"/>
    <mergeCell ref="D23:I23"/>
    <mergeCell ref="D25:I25"/>
    <mergeCell ref="D26:I26"/>
    <mergeCell ref="D28:I28"/>
    <mergeCell ref="D34:I34"/>
    <mergeCell ref="H109:I109"/>
    <mergeCell ref="D97:I97"/>
    <mergeCell ref="B105:N105"/>
    <mergeCell ref="H108:I108"/>
    <mergeCell ref="D35:I35"/>
    <mergeCell ref="D36:I36"/>
    <mergeCell ref="D37:I37"/>
    <mergeCell ref="D38:I38"/>
    <mergeCell ref="D39:I39"/>
    <mergeCell ref="D82:I82"/>
    <mergeCell ref="I115:J115"/>
    <mergeCell ref="K121:L121"/>
    <mergeCell ref="I121:J121"/>
    <mergeCell ref="G121:H121"/>
    <mergeCell ref="K120:L120"/>
    <mergeCell ref="I120:J120"/>
    <mergeCell ref="G120:H120"/>
    <mergeCell ref="G115:H115"/>
    <mergeCell ref="D87:I87"/>
    <mergeCell ref="B8:N8"/>
    <mergeCell ref="D95:I95"/>
    <mergeCell ref="D43:I43"/>
    <mergeCell ref="D86:I86"/>
    <mergeCell ref="B52:N52"/>
    <mergeCell ref="B79:N79"/>
    <mergeCell ref="D44:I44"/>
    <mergeCell ref="D45:I45"/>
    <mergeCell ref="D46:I46"/>
    <mergeCell ref="B16:N16"/>
    <mergeCell ref="L18:L22"/>
    <mergeCell ref="B61:N61"/>
    <mergeCell ref="D92:I92"/>
    <mergeCell ref="D94:I94"/>
    <mergeCell ref="E11:L11"/>
    <mergeCell ref="K115:L115"/>
    <mergeCell ref="G124:H124"/>
    <mergeCell ref="I124:J124"/>
    <mergeCell ref="K124:L124"/>
    <mergeCell ref="G125:H125"/>
    <mergeCell ref="I125:J125"/>
    <mergeCell ref="K125:L125"/>
    <mergeCell ref="G122:H122"/>
    <mergeCell ref="I122:J122"/>
    <mergeCell ref="K122:L122"/>
    <mergeCell ref="G123:H123"/>
    <mergeCell ref="I123:J123"/>
    <mergeCell ref="K123:L123"/>
    <mergeCell ref="D100:I100"/>
    <mergeCell ref="B112:N112"/>
    <mergeCell ref="D96:I96"/>
    <mergeCell ref="D99:I99"/>
    <mergeCell ref="D98:I98"/>
    <mergeCell ref="D93:I93"/>
    <mergeCell ref="D89:I89"/>
    <mergeCell ref="D88:I88"/>
    <mergeCell ref="G65:H65"/>
    <mergeCell ref="I66:J66"/>
    <mergeCell ref="E72:F72"/>
    <mergeCell ref="E73:F73"/>
    <mergeCell ref="E65:F65"/>
    <mergeCell ref="E66:F66"/>
    <mergeCell ref="E67:F67"/>
    <mergeCell ref="E68:F68"/>
    <mergeCell ref="E69:F69"/>
    <mergeCell ref="E70:F70"/>
    <mergeCell ref="E71:F71"/>
    <mergeCell ref="D30:I30"/>
    <mergeCell ref="G73:H73"/>
    <mergeCell ref="I73:J73"/>
    <mergeCell ref="G71:H71"/>
    <mergeCell ref="I71:J71"/>
    <mergeCell ref="G72:H72"/>
    <mergeCell ref="I72:J72"/>
    <mergeCell ref="G70:H70"/>
    <mergeCell ref="I70:J70"/>
    <mergeCell ref="G67:H67"/>
    <mergeCell ref="I67:J67"/>
    <mergeCell ref="G68:H68"/>
    <mergeCell ref="I68:J68"/>
    <mergeCell ref="G63:H63"/>
    <mergeCell ref="I63:J63"/>
    <mergeCell ref="G64:H64"/>
    <mergeCell ref="I64:J64"/>
    <mergeCell ref="G69:H69"/>
    <mergeCell ref="I69:J69"/>
    <mergeCell ref="I65:J65"/>
    <mergeCell ref="G66:H66"/>
    <mergeCell ref="E63:F63"/>
    <mergeCell ref="E64:F64"/>
  </mergeCells>
  <dataValidations count="6">
    <dataValidation type="list" allowBlank="1" showInputMessage="1" showErrorMessage="1" sqref="J88 J25 J45" xr:uid="{00000000-0002-0000-0C00-000000000000}">
      <formula1>biomas</formula1>
    </dataValidation>
    <dataValidation type="list" allowBlank="1" showInputMessage="1" showErrorMessage="1" sqref="J89" xr:uid="{00000000-0002-0000-0C00-000001000000}">
      <formula1>IF($J$88="Selecione",sel,IF($J$88="Amazônia",Amazônia,IF($J$88="Caatinga",Caatinga,IF($J$88="Cerrado",Cerrado,IF($J$88="Mata Atlântica",MAtlântica,IF($J$88="Pampa",Pampa,IF($J$88="Pantanal",Pantanal)))))))</formula1>
    </dataValidation>
    <dataValidation type="list" allowBlank="1" showInputMessage="1" showErrorMessage="1" sqref="J31:J39 J93:J95" xr:uid="{00000000-0002-0000-0C00-000002000000}">
      <formula1>simnao</formula1>
    </dataValidation>
    <dataValidation type="list" allowBlank="1" showInputMessage="1" showErrorMessage="1" sqref="J28 J100" xr:uid="{00000000-0002-0000-0C00-000003000000}">
      <formula1>usodaterra</formula1>
    </dataValidation>
    <dataValidation type="list" allowBlank="1" showInputMessage="1" showErrorMessage="1" sqref="J26" xr:uid="{00000000-0002-0000-0C00-000004000000}">
      <formula1>IF($J$25="Selecione",sel,IF($J$25="Amazônia",Amazônia,IF($J$25="Caatinga",Caatinga,IF($J$25="Cerrado",Cerrado,IF($J$25="Mata Atlântica",MAtlântica,IF($J$25="Pampa",Pampa,IF($J$25="Pantanal",Pantanal)))))))</formula1>
    </dataValidation>
    <dataValidation type="list" allowBlank="1" showInputMessage="1" showErrorMessage="1" sqref="J46" xr:uid="{00000000-0002-0000-0C00-000005000000}">
      <formula1>IF($J$45="Selecione",sel,IF($J$45="Amazônia",Amazônia,IF($J$45="Caatinga",Caatinga,IF($J$45="Cerrado",Cerrado,IF($J$45="Mata Atlântica",MAtlântica,IF($J$45="Pampa",Pampa,IF($J$45="Pantanal",Pantanal)))))))</formula1>
    </dataValidation>
  </dataValidations>
  <hyperlinks>
    <hyperlink ref="L84" r:id="rId1" xr:uid="{00000000-0004-0000-0C00-000000000000}"/>
  </hyperlinks>
  <pageMargins left="0.78740157499999996" right="0.78740157499999996" top="0.984251969" bottom="0.984251969" header="0.5" footer="0.5"/>
  <pageSetup paperSize="9" orientation="portrait"/>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6000000}">
          <x14:formula1>
            <xm:f>'Apoio_Regulação do clima global'!$N$15:$N$17</xm:f>
          </x14:formula1>
          <xm:sqref>J90</xm:sqref>
        </x14:dataValidation>
      </x14:dataValidations>
    </ex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0">
    <tabColor theme="0" tint="-0.499984740745262"/>
  </sheetPr>
  <dimension ref="A8:BF270"/>
  <sheetViews>
    <sheetView showGridLines="0" topLeftCell="A195" zoomScale="90" zoomScaleNormal="90" workbookViewId="0">
      <selection activeCell="B198" sqref="B198"/>
    </sheetView>
  </sheetViews>
  <sheetFormatPr defaultColWidth="8.88671875" defaultRowHeight="14.4" outlineLevelRow="2"/>
  <cols>
    <col min="1" max="1" width="4.44140625" style="5" customWidth="1"/>
    <col min="2" max="2" width="48.88671875" style="5" customWidth="1"/>
    <col min="3" max="3" width="13.6640625" style="573" customWidth="1"/>
    <col min="4" max="4" width="23.109375" style="573" customWidth="1"/>
    <col min="5" max="5" width="15" style="573" customWidth="1"/>
    <col min="6" max="6" width="15" style="5" customWidth="1"/>
    <col min="7" max="8" width="11.33203125" style="5" customWidth="1"/>
    <col min="9" max="9" width="10.5546875" style="5" customWidth="1"/>
    <col min="10" max="10" width="15.33203125" style="5" customWidth="1"/>
    <col min="11" max="11" width="11" style="5" customWidth="1"/>
    <col min="12" max="12" width="4.5546875" style="5" customWidth="1"/>
    <col min="13" max="14" width="9.88671875" style="5" bestFit="1" customWidth="1"/>
    <col min="15" max="15" width="18.33203125" style="5" customWidth="1"/>
    <col min="16" max="17" width="9.88671875" style="1496" bestFit="1" customWidth="1"/>
    <col min="18" max="18" width="9.88671875" style="1496" hidden="1" customWidth="1"/>
    <col min="19" max="24" width="9.88671875" style="1496" bestFit="1" customWidth="1"/>
    <col min="25" max="43" width="9" style="1496" bestFit="1" customWidth="1"/>
    <col min="44" max="44" width="8.88671875" style="1496"/>
    <col min="45" max="45" width="8.88671875" style="1496" customWidth="1"/>
    <col min="46" max="58" width="8.88671875" style="1496"/>
    <col min="59" max="16384" width="8.88671875" style="5"/>
  </cols>
  <sheetData>
    <row r="8" spans="1:14">
      <c r="A8" s="1876" t="s">
        <v>1540</v>
      </c>
      <c r="B8" s="1876"/>
      <c r="C8" s="1876"/>
      <c r="D8" s="1876"/>
      <c r="E8" s="1876"/>
      <c r="F8" s="1876"/>
      <c r="G8" s="1876"/>
      <c r="H8" s="1876"/>
      <c r="I8" s="1876"/>
      <c r="J8" s="1876"/>
      <c r="K8" s="1876"/>
      <c r="L8" s="1876"/>
    </row>
    <row r="13" spans="1:14">
      <c r="A13" s="7"/>
      <c r="B13" s="600" t="s">
        <v>1639</v>
      </c>
      <c r="C13" s="579"/>
      <c r="D13" s="579"/>
      <c r="E13" s="599"/>
      <c r="F13" s="600"/>
      <c r="J13" s="9"/>
    </row>
    <row r="14" spans="1:14" ht="16.2" thickBot="1">
      <c r="B14" s="1476" t="s">
        <v>585</v>
      </c>
      <c r="C14" s="1476" t="s">
        <v>644</v>
      </c>
      <c r="D14" s="1477" t="s">
        <v>1640</v>
      </c>
      <c r="E14" s="1475"/>
      <c r="F14" s="1885"/>
      <c r="G14" s="1885"/>
      <c r="J14" s="9"/>
    </row>
    <row r="15" spans="1:14" ht="19.5" customHeight="1" outlineLevel="1">
      <c r="B15" s="1437" t="s">
        <v>12</v>
      </c>
      <c r="C15" s="595"/>
      <c r="D15" s="595"/>
      <c r="E15" s="579"/>
      <c r="F15" s="360"/>
      <c r="G15" s="587"/>
      <c r="H15" s="595"/>
      <c r="I15" s="595"/>
      <c r="J15" s="9"/>
      <c r="N15" s="1467" t="s">
        <v>12</v>
      </c>
    </row>
    <row r="16" spans="1:14" outlineLevel="1">
      <c r="A16" s="5" t="s">
        <v>1564</v>
      </c>
      <c r="B16" s="14" t="s">
        <v>586</v>
      </c>
      <c r="C16" s="1050">
        <v>183.3</v>
      </c>
      <c r="D16" s="1381">
        <f t="shared" ref="D16:D45" si="0">(C16*$N$197)</f>
        <v>672.1</v>
      </c>
      <c r="E16" s="1440"/>
      <c r="F16" s="360"/>
      <c r="G16" s="587"/>
      <c r="H16" s="1050"/>
      <c r="I16" s="1438"/>
      <c r="N16" s="1467" t="s">
        <v>1633</v>
      </c>
    </row>
    <row r="17" spans="1:14" outlineLevel="1">
      <c r="A17" s="5" t="s">
        <v>1565</v>
      </c>
      <c r="B17" s="14" t="s">
        <v>587</v>
      </c>
      <c r="C17" s="1050">
        <v>164.08</v>
      </c>
      <c r="D17" s="1381">
        <f t="shared" si="0"/>
        <v>601.62666666666667</v>
      </c>
      <c r="E17" s="1440"/>
      <c r="F17" s="360"/>
      <c r="G17" s="587"/>
      <c r="H17" s="1050"/>
      <c r="I17" s="1438"/>
      <c r="N17" s="1467" t="s">
        <v>1634</v>
      </c>
    </row>
    <row r="18" spans="1:14" outlineLevel="1">
      <c r="A18" s="5" t="s">
        <v>1566</v>
      </c>
      <c r="B18" s="14" t="s">
        <v>588</v>
      </c>
      <c r="C18" s="1050">
        <v>146.94</v>
      </c>
      <c r="D18" s="1381">
        <f t="shared" si="0"/>
        <v>538.78</v>
      </c>
      <c r="E18" s="1440"/>
      <c r="F18" s="360"/>
      <c r="G18" s="587"/>
      <c r="H18" s="1050"/>
      <c r="I18" s="1438"/>
    </row>
    <row r="19" spans="1:14" outlineLevel="1">
      <c r="A19" s="5" t="s">
        <v>1567</v>
      </c>
      <c r="B19" s="14" t="s">
        <v>589</v>
      </c>
      <c r="C19" s="1050">
        <v>145.37</v>
      </c>
      <c r="D19" s="1381">
        <f t="shared" si="0"/>
        <v>533.02333333333331</v>
      </c>
      <c r="E19" s="1440"/>
      <c r="F19" s="360"/>
      <c r="G19" s="587"/>
      <c r="H19" s="1050"/>
      <c r="I19" s="1438"/>
    </row>
    <row r="20" spans="1:14" outlineLevel="1">
      <c r="A20" s="5" t="s">
        <v>1568</v>
      </c>
      <c r="B20" s="14" t="s">
        <v>590</v>
      </c>
      <c r="C20" s="1050">
        <v>136.35</v>
      </c>
      <c r="D20" s="1381">
        <f t="shared" si="0"/>
        <v>499.94999999999993</v>
      </c>
      <c r="E20" s="1440"/>
      <c r="F20" s="360"/>
      <c r="G20" s="587"/>
      <c r="H20" s="1050"/>
      <c r="I20" s="1438"/>
    </row>
    <row r="21" spans="1:14" outlineLevel="1">
      <c r="A21" s="5" t="s">
        <v>1569</v>
      </c>
      <c r="B21" s="14" t="s">
        <v>591</v>
      </c>
      <c r="C21" s="1050">
        <v>225.09</v>
      </c>
      <c r="D21" s="1381">
        <f t="shared" si="0"/>
        <v>825.32999999999993</v>
      </c>
      <c r="E21" s="1440"/>
      <c r="F21" s="360"/>
      <c r="G21" s="587"/>
      <c r="H21" s="1050"/>
      <c r="I21" s="1438"/>
    </row>
    <row r="22" spans="1:14" outlineLevel="1">
      <c r="A22" s="5" t="s">
        <v>1570</v>
      </c>
      <c r="B22" s="14" t="s">
        <v>592</v>
      </c>
      <c r="C22" s="1050">
        <v>198.28</v>
      </c>
      <c r="D22" s="1381">
        <f t="shared" si="0"/>
        <v>727.02666666666664</v>
      </c>
      <c r="E22" s="1440"/>
      <c r="F22" s="360"/>
      <c r="G22" s="587"/>
      <c r="H22" s="1050"/>
      <c r="I22" s="1438"/>
    </row>
    <row r="23" spans="1:14" outlineLevel="1">
      <c r="A23" s="5" t="s">
        <v>1571</v>
      </c>
      <c r="B23" s="14" t="s">
        <v>593</v>
      </c>
      <c r="C23" s="1050">
        <v>155.27000000000001</v>
      </c>
      <c r="D23" s="1381">
        <f t="shared" si="0"/>
        <v>569.32333333333338</v>
      </c>
      <c r="E23" s="1440"/>
      <c r="F23" s="360"/>
      <c r="G23" s="587"/>
      <c r="H23" s="1050"/>
      <c r="I23" s="1438"/>
    </row>
    <row r="24" spans="1:14" outlineLevel="1">
      <c r="A24" s="5" t="s">
        <v>1572</v>
      </c>
      <c r="B24" s="14" t="s">
        <v>594</v>
      </c>
      <c r="C24" s="1050">
        <v>197.71</v>
      </c>
      <c r="D24" s="1381">
        <f t="shared" si="0"/>
        <v>724.93666666666661</v>
      </c>
      <c r="E24" s="1440"/>
      <c r="F24" s="360"/>
      <c r="G24" s="587"/>
      <c r="H24" s="1050"/>
      <c r="I24" s="1438"/>
    </row>
    <row r="25" spans="1:14" outlineLevel="1">
      <c r="A25" s="5" t="s">
        <v>1573</v>
      </c>
      <c r="B25" s="14" t="s">
        <v>1574</v>
      </c>
      <c r="C25" s="1050">
        <v>133.19999999999999</v>
      </c>
      <c r="D25" s="1381">
        <f t="shared" si="0"/>
        <v>488.39999999999992</v>
      </c>
      <c r="E25" s="1440"/>
      <c r="F25" s="360"/>
      <c r="G25" s="587"/>
      <c r="H25" s="1050"/>
      <c r="I25" s="1438"/>
    </row>
    <row r="26" spans="1:14" outlineLevel="1">
      <c r="A26" s="5" t="s">
        <v>1575</v>
      </c>
      <c r="B26" s="14" t="s">
        <v>596</v>
      </c>
      <c r="C26" s="1050">
        <v>145.37</v>
      </c>
      <c r="D26" s="1381">
        <f t="shared" si="0"/>
        <v>533.02333333333331</v>
      </c>
      <c r="E26" s="1440"/>
      <c r="F26" s="360"/>
      <c r="G26" s="587"/>
      <c r="H26" s="1050"/>
      <c r="I26" s="1438"/>
    </row>
    <row r="27" spans="1:14" outlineLevel="1">
      <c r="A27" s="5" t="s">
        <v>1576</v>
      </c>
      <c r="B27" s="14" t="s">
        <v>597</v>
      </c>
      <c r="C27" s="1050">
        <v>155.27000000000001</v>
      </c>
      <c r="D27" s="1381">
        <f t="shared" si="0"/>
        <v>569.32333333333338</v>
      </c>
      <c r="E27" s="1440"/>
      <c r="F27" s="360"/>
      <c r="G27" s="587"/>
      <c r="H27" s="1050"/>
      <c r="I27" s="1438"/>
    </row>
    <row r="28" spans="1:14" outlineLevel="1">
      <c r="A28" s="5" t="s">
        <v>1577</v>
      </c>
      <c r="B28" s="14" t="s">
        <v>598</v>
      </c>
      <c r="C28" s="1050">
        <v>122.06</v>
      </c>
      <c r="D28" s="1381">
        <f t="shared" si="0"/>
        <v>447.55333333333334</v>
      </c>
      <c r="E28" s="1440"/>
      <c r="F28" s="360"/>
      <c r="G28" s="587"/>
      <c r="H28" s="1050"/>
      <c r="I28" s="1438"/>
    </row>
    <row r="29" spans="1:14" outlineLevel="1">
      <c r="A29" s="5" t="s">
        <v>1578</v>
      </c>
      <c r="B29" s="14" t="s">
        <v>599</v>
      </c>
      <c r="C29" s="1050">
        <v>20.52</v>
      </c>
      <c r="D29" s="1381">
        <f t="shared" si="0"/>
        <v>75.239999999999995</v>
      </c>
      <c r="E29" s="1440"/>
      <c r="F29" s="360"/>
      <c r="G29" s="587"/>
      <c r="H29" s="1050"/>
      <c r="I29" s="1438"/>
    </row>
    <row r="30" spans="1:14" outlineLevel="1">
      <c r="A30" s="5" t="s">
        <v>1579</v>
      </c>
      <c r="B30" s="14" t="s">
        <v>600</v>
      </c>
      <c r="C30" s="1050">
        <v>19.68</v>
      </c>
      <c r="D30" s="1381">
        <f t="shared" si="0"/>
        <v>72.16</v>
      </c>
      <c r="E30" s="1440"/>
      <c r="F30" s="360"/>
      <c r="G30" s="587"/>
      <c r="H30" s="1050"/>
      <c r="I30" s="1438"/>
    </row>
    <row r="31" spans="1:14" outlineLevel="1">
      <c r="A31" s="5" t="s">
        <v>1580</v>
      </c>
      <c r="B31" s="14" t="s">
        <v>601</v>
      </c>
      <c r="C31" s="1050">
        <v>23.21</v>
      </c>
      <c r="D31" s="1381">
        <f t="shared" si="0"/>
        <v>85.103333333333339</v>
      </c>
      <c r="E31" s="1440"/>
      <c r="F31" s="360"/>
      <c r="G31" s="587"/>
      <c r="H31" s="1050"/>
      <c r="I31" s="1438"/>
    </row>
    <row r="32" spans="1:14" outlineLevel="1">
      <c r="A32" s="5" t="s">
        <v>1581</v>
      </c>
      <c r="B32" s="14" t="s">
        <v>602</v>
      </c>
      <c r="C32" s="1050">
        <v>139.28</v>
      </c>
      <c r="D32" s="1381">
        <f t="shared" si="0"/>
        <v>510.69333333333333</v>
      </c>
      <c r="E32" s="1440"/>
      <c r="F32" s="360"/>
      <c r="G32" s="587"/>
      <c r="H32" s="1050"/>
      <c r="I32" s="1438"/>
    </row>
    <row r="33" spans="1:9" outlineLevel="1">
      <c r="A33" s="5" t="s">
        <v>1582</v>
      </c>
      <c r="B33" s="14" t="s">
        <v>603</v>
      </c>
      <c r="C33" s="1050">
        <v>141.38</v>
      </c>
      <c r="D33" s="1381">
        <f t="shared" si="0"/>
        <v>518.39333333333332</v>
      </c>
      <c r="E33" s="1440"/>
      <c r="F33" s="360"/>
      <c r="G33" s="587"/>
      <c r="H33" s="1050"/>
      <c r="I33" s="1438"/>
    </row>
    <row r="34" spans="1:9" outlineLevel="1">
      <c r="A34" s="5" t="s">
        <v>1583</v>
      </c>
      <c r="B34" s="14" t="s">
        <v>604</v>
      </c>
      <c r="C34" s="1050">
        <v>117.2</v>
      </c>
      <c r="D34" s="1381">
        <f t="shared" si="0"/>
        <v>429.73333333333335</v>
      </c>
      <c r="E34" s="1440"/>
      <c r="F34" s="360"/>
      <c r="G34" s="587"/>
      <c r="H34" s="1050"/>
      <c r="I34" s="1438"/>
    </row>
    <row r="35" spans="1:9" outlineLevel="1">
      <c r="A35" s="5" t="s">
        <v>1584</v>
      </c>
      <c r="B35" s="14" t="s">
        <v>605</v>
      </c>
      <c r="C35" s="1050">
        <v>130.69999999999999</v>
      </c>
      <c r="D35" s="1381">
        <f t="shared" si="0"/>
        <v>479.23333333333329</v>
      </c>
      <c r="E35" s="1440"/>
      <c r="F35" s="360"/>
      <c r="G35" s="587"/>
      <c r="H35" s="1050"/>
      <c r="I35" s="1438"/>
    </row>
    <row r="36" spans="1:9" outlineLevel="1">
      <c r="A36" s="5" t="s">
        <v>1585</v>
      </c>
      <c r="B36" s="14" t="s">
        <v>606</v>
      </c>
      <c r="C36" s="1050">
        <v>5.67</v>
      </c>
      <c r="D36" s="1381">
        <f t="shared" si="0"/>
        <v>20.79</v>
      </c>
      <c r="E36" s="1440"/>
      <c r="F36" s="360"/>
      <c r="G36" s="587"/>
      <c r="H36" s="1050"/>
      <c r="I36" s="1438"/>
    </row>
    <row r="37" spans="1:9" outlineLevel="1">
      <c r="A37" s="5" t="s">
        <v>1586</v>
      </c>
      <c r="B37" s="14" t="s">
        <v>607</v>
      </c>
      <c r="C37" s="1439">
        <v>6.55</v>
      </c>
      <c r="D37" s="1381">
        <f t="shared" si="0"/>
        <v>24.016666666666666</v>
      </c>
      <c r="E37" s="1440"/>
      <c r="F37" s="360"/>
      <c r="G37" s="587"/>
      <c r="H37" s="1439"/>
      <c r="I37" s="1438"/>
    </row>
    <row r="38" spans="1:9" outlineLevel="1">
      <c r="A38" s="5" t="s">
        <v>1587</v>
      </c>
      <c r="B38" s="14" t="s">
        <v>608</v>
      </c>
      <c r="C38" s="1050">
        <v>39.92</v>
      </c>
      <c r="D38" s="1381">
        <f t="shared" si="0"/>
        <v>146.37333333333333</v>
      </c>
      <c r="E38" s="1440"/>
      <c r="F38" s="360"/>
      <c r="G38" s="587"/>
      <c r="H38" s="1050"/>
      <c r="I38" s="1438"/>
    </row>
    <row r="39" spans="1:9" outlineLevel="1">
      <c r="A39" s="5" t="s">
        <v>1588</v>
      </c>
      <c r="B39" s="14" t="s">
        <v>609</v>
      </c>
      <c r="C39" s="1050">
        <v>49.76</v>
      </c>
      <c r="D39" s="1381">
        <f t="shared" si="0"/>
        <v>182.45333333333332</v>
      </c>
      <c r="E39" s="1440"/>
      <c r="F39" s="360"/>
      <c r="G39" s="587"/>
      <c r="H39" s="1050"/>
      <c r="I39" s="1438"/>
    </row>
    <row r="40" spans="1:9" outlineLevel="1">
      <c r="A40" s="5" t="s">
        <v>1589</v>
      </c>
      <c r="B40" s="14" t="s">
        <v>610</v>
      </c>
      <c r="C40" s="1050">
        <v>6.01</v>
      </c>
      <c r="D40" s="1381">
        <f t="shared" si="0"/>
        <v>22.036666666666665</v>
      </c>
      <c r="E40" s="1440"/>
      <c r="F40" s="360"/>
      <c r="G40" s="587"/>
      <c r="H40" s="1050"/>
      <c r="I40" s="1438"/>
    </row>
    <row r="41" spans="1:9" outlineLevel="1">
      <c r="A41" s="5" t="s">
        <v>1590</v>
      </c>
      <c r="B41" s="14" t="s">
        <v>611</v>
      </c>
      <c r="C41" s="1050">
        <v>15.21</v>
      </c>
      <c r="D41" s="1381">
        <f t="shared" si="0"/>
        <v>55.77</v>
      </c>
      <c r="E41" s="1440"/>
      <c r="F41" s="360"/>
      <c r="G41" s="587"/>
      <c r="H41" s="1050"/>
      <c r="I41" s="1438"/>
    </row>
    <row r="42" spans="1:9" outlineLevel="1">
      <c r="A42" s="5" t="s">
        <v>1591</v>
      </c>
      <c r="B42" s="14" t="s">
        <v>612</v>
      </c>
      <c r="C42" s="1050">
        <v>11.96</v>
      </c>
      <c r="D42" s="1381">
        <f t="shared" si="0"/>
        <v>43.853333333333332</v>
      </c>
      <c r="E42" s="1440"/>
      <c r="F42" s="360"/>
      <c r="G42" s="587"/>
      <c r="H42" s="1050"/>
      <c r="I42" s="1438"/>
    </row>
    <row r="43" spans="1:9" outlineLevel="1">
      <c r="A43" s="5" t="s">
        <v>1592</v>
      </c>
      <c r="B43" s="14" t="s">
        <v>613</v>
      </c>
      <c r="C43" s="1050">
        <v>33.99</v>
      </c>
      <c r="D43" s="1381">
        <f t="shared" si="0"/>
        <v>124.63</v>
      </c>
      <c r="E43" s="1440"/>
      <c r="F43" s="360"/>
      <c r="G43" s="587"/>
      <c r="H43" s="1050"/>
      <c r="I43" s="1438"/>
    </row>
    <row r="44" spans="1:9" outlineLevel="1">
      <c r="A44" s="5" t="s">
        <v>1593</v>
      </c>
      <c r="B44" s="14" t="s">
        <v>614</v>
      </c>
      <c r="C44" s="1050">
        <v>5.29</v>
      </c>
      <c r="D44" s="1381">
        <f t="shared" si="0"/>
        <v>19.396666666666665</v>
      </c>
      <c r="E44" s="1440"/>
      <c r="F44" s="360"/>
      <c r="G44" s="587"/>
      <c r="H44" s="1050"/>
      <c r="I44" s="1438"/>
    </row>
    <row r="45" spans="1:9" outlineLevel="1">
      <c r="A45" s="5" t="s">
        <v>1594</v>
      </c>
      <c r="B45" s="14" t="s">
        <v>615</v>
      </c>
      <c r="C45" s="573">
        <v>11.45</v>
      </c>
      <c r="D45" s="1381">
        <f t="shared" si="0"/>
        <v>41.983333333333327</v>
      </c>
      <c r="E45" s="579"/>
      <c r="F45" s="360"/>
      <c r="G45" s="587"/>
      <c r="H45" s="573"/>
      <c r="I45" s="1438"/>
    </row>
    <row r="46" spans="1:9" outlineLevel="1">
      <c r="B46" s="1378"/>
      <c r="C46" s="579"/>
      <c r="D46" s="579"/>
      <c r="E46" s="1441"/>
      <c r="F46" s="360"/>
      <c r="G46" s="587"/>
      <c r="H46" s="9"/>
    </row>
    <row r="47" spans="1:9" ht="15.75" customHeight="1" thickBot="1">
      <c r="B47" s="1476" t="s">
        <v>616</v>
      </c>
      <c r="C47" s="1476" t="str">
        <f>$C$14</f>
        <v>tC/ha</v>
      </c>
      <c r="D47" s="1477" t="s">
        <v>1640</v>
      </c>
      <c r="E47" s="1475"/>
      <c r="F47" s="1885"/>
      <c r="G47" s="1885"/>
      <c r="H47" s="9"/>
    </row>
    <row r="48" spans="1:9" hidden="1" outlineLevel="1">
      <c r="B48" s="14" t="s">
        <v>12</v>
      </c>
      <c r="D48" s="579"/>
      <c r="F48" s="360"/>
      <c r="G48" s="587"/>
      <c r="H48" s="573"/>
    </row>
    <row r="49" spans="1:8" hidden="1" outlineLevel="1">
      <c r="A49" s="5" t="s">
        <v>1565</v>
      </c>
      <c r="B49" s="14" t="s">
        <v>587</v>
      </c>
      <c r="C49" s="573">
        <v>47.03</v>
      </c>
      <c r="D49" s="1381">
        <f t="shared" ref="D49:D72" si="1">(C49*$N$197)</f>
        <v>172.44333333333333</v>
      </c>
      <c r="F49" s="360"/>
      <c r="G49" s="587"/>
      <c r="H49" s="573"/>
    </row>
    <row r="50" spans="1:8" hidden="1" outlineLevel="1">
      <c r="A50" s="5" t="s">
        <v>1595</v>
      </c>
      <c r="B50" s="14" t="s">
        <v>617</v>
      </c>
      <c r="C50" s="573">
        <v>47.03</v>
      </c>
      <c r="D50" s="1381">
        <f t="shared" si="1"/>
        <v>172.44333333333333</v>
      </c>
      <c r="F50" s="360"/>
      <c r="G50" s="587"/>
      <c r="H50" s="573"/>
    </row>
    <row r="51" spans="1:8" hidden="1" outlineLevel="1">
      <c r="A51" s="5" t="s">
        <v>1566</v>
      </c>
      <c r="B51" s="14" t="s">
        <v>588</v>
      </c>
      <c r="C51" s="573">
        <v>47.03</v>
      </c>
      <c r="D51" s="1381">
        <f t="shared" si="1"/>
        <v>172.44333333333333</v>
      </c>
      <c r="F51" s="360"/>
      <c r="G51" s="587"/>
      <c r="H51" s="573"/>
    </row>
    <row r="52" spans="1:8" hidden="1" outlineLevel="1">
      <c r="A52" s="5" t="s">
        <v>1567</v>
      </c>
      <c r="B52" s="14" t="s">
        <v>589</v>
      </c>
      <c r="C52" s="573">
        <v>62.7</v>
      </c>
      <c r="D52" s="1381">
        <f t="shared" si="1"/>
        <v>229.9</v>
      </c>
      <c r="F52" s="360"/>
      <c r="G52" s="587"/>
      <c r="H52" s="573"/>
    </row>
    <row r="53" spans="1:8" hidden="1" outlineLevel="1">
      <c r="A53" s="5" t="s">
        <v>1596</v>
      </c>
      <c r="B53" s="14" t="s">
        <v>618</v>
      </c>
      <c r="C53" s="573">
        <v>62.7</v>
      </c>
      <c r="D53" s="1381">
        <f t="shared" si="1"/>
        <v>229.9</v>
      </c>
      <c r="F53" s="360"/>
      <c r="G53" s="587"/>
      <c r="H53" s="573"/>
    </row>
    <row r="54" spans="1:8" hidden="1" outlineLevel="1">
      <c r="A54" s="5" t="s">
        <v>1568</v>
      </c>
      <c r="B54" s="14" t="s">
        <v>590</v>
      </c>
      <c r="C54" s="573">
        <v>62.7</v>
      </c>
      <c r="D54" s="1381">
        <f t="shared" si="1"/>
        <v>229.9</v>
      </c>
      <c r="F54" s="360"/>
      <c r="G54" s="587"/>
      <c r="H54" s="573"/>
    </row>
    <row r="55" spans="1:8" hidden="1" outlineLevel="1">
      <c r="A55" s="5" t="s">
        <v>1572</v>
      </c>
      <c r="B55" s="14" t="s">
        <v>594</v>
      </c>
      <c r="C55" s="573">
        <v>151.41999999999999</v>
      </c>
      <c r="D55" s="1381">
        <f t="shared" si="1"/>
        <v>555.20666666666659</v>
      </c>
      <c r="F55" s="360"/>
      <c r="G55" s="587"/>
      <c r="H55" s="573"/>
    </row>
    <row r="56" spans="1:8" hidden="1" outlineLevel="1">
      <c r="A56" s="5" t="s">
        <v>1573</v>
      </c>
      <c r="B56" s="14" t="s">
        <v>595</v>
      </c>
      <c r="C56" s="573">
        <v>75.89</v>
      </c>
      <c r="D56" s="1381">
        <f t="shared" si="1"/>
        <v>278.26333333333332</v>
      </c>
      <c r="F56" s="360"/>
      <c r="G56" s="587"/>
      <c r="H56" s="573"/>
    </row>
    <row r="57" spans="1:8" hidden="1" outlineLevel="1">
      <c r="A57" s="5" t="s">
        <v>1575</v>
      </c>
      <c r="B57" s="14" t="s">
        <v>596</v>
      </c>
      <c r="C57" s="573">
        <v>87.55</v>
      </c>
      <c r="D57" s="1381">
        <f t="shared" si="1"/>
        <v>321.01666666666665</v>
      </c>
      <c r="F57" s="360"/>
      <c r="G57" s="587"/>
      <c r="H57" s="573"/>
    </row>
    <row r="58" spans="1:8" hidden="1" outlineLevel="1">
      <c r="A58" s="5" t="s">
        <v>1576</v>
      </c>
      <c r="B58" s="14" t="s">
        <v>597</v>
      </c>
      <c r="C58" s="573">
        <v>54.98</v>
      </c>
      <c r="D58" s="1381">
        <f t="shared" si="1"/>
        <v>201.59333333333331</v>
      </c>
      <c r="F58" s="360"/>
      <c r="G58" s="587"/>
      <c r="H58" s="573"/>
    </row>
    <row r="59" spans="1:8" hidden="1" outlineLevel="1">
      <c r="A59" s="5" t="s">
        <v>1577</v>
      </c>
      <c r="B59" s="14" t="s">
        <v>598</v>
      </c>
      <c r="C59" s="573">
        <v>54.98</v>
      </c>
      <c r="D59" s="1381">
        <f t="shared" si="1"/>
        <v>201.59333333333331</v>
      </c>
      <c r="F59" s="360"/>
      <c r="G59" s="587"/>
      <c r="H59" s="573"/>
    </row>
    <row r="60" spans="1:8" hidden="1" outlineLevel="1">
      <c r="A60" s="5" t="s">
        <v>1582</v>
      </c>
      <c r="B60" s="14" t="s">
        <v>603</v>
      </c>
      <c r="C60" s="573">
        <v>66.88</v>
      </c>
      <c r="D60" s="1381">
        <f t="shared" si="1"/>
        <v>245.22666666666663</v>
      </c>
      <c r="F60" s="360"/>
      <c r="G60" s="587"/>
      <c r="H60" s="573"/>
    </row>
    <row r="61" spans="1:8" hidden="1" outlineLevel="1">
      <c r="A61" s="5" t="s">
        <v>1583</v>
      </c>
      <c r="B61" s="14" t="s">
        <v>604</v>
      </c>
      <c r="C61" s="1051">
        <v>117.2</v>
      </c>
      <c r="D61" s="1381">
        <f t="shared" si="1"/>
        <v>429.73333333333335</v>
      </c>
      <c r="F61" s="360"/>
      <c r="G61" s="587"/>
      <c r="H61" s="1051"/>
    </row>
    <row r="62" spans="1:8" hidden="1" outlineLevel="1">
      <c r="A62" s="5" t="s">
        <v>1584</v>
      </c>
      <c r="B62" s="14" t="s">
        <v>605</v>
      </c>
      <c r="C62" s="573">
        <v>123.67</v>
      </c>
      <c r="D62" s="1381">
        <f t="shared" si="1"/>
        <v>453.45666666666665</v>
      </c>
      <c r="F62" s="360"/>
      <c r="G62" s="587"/>
      <c r="H62" s="573"/>
    </row>
    <row r="63" spans="1:8" hidden="1" outlineLevel="1">
      <c r="A63" s="5" t="s">
        <v>1597</v>
      </c>
      <c r="B63" s="14" t="s">
        <v>619</v>
      </c>
      <c r="C63" s="1438">
        <v>6.55</v>
      </c>
      <c r="D63" s="1381">
        <f t="shared" si="1"/>
        <v>24.016666666666666</v>
      </c>
      <c r="F63" s="360"/>
      <c r="G63" s="587"/>
      <c r="H63" s="1438"/>
    </row>
    <row r="64" spans="1:8" hidden="1" outlineLevel="1">
      <c r="A64" s="5" t="s">
        <v>1585</v>
      </c>
      <c r="B64" s="14" t="s">
        <v>606</v>
      </c>
      <c r="C64" s="573">
        <v>16.239999999999998</v>
      </c>
      <c r="D64" s="1381">
        <f t="shared" si="1"/>
        <v>59.54666666666666</v>
      </c>
      <c r="F64" s="360"/>
      <c r="G64" s="587"/>
      <c r="H64" s="573"/>
    </row>
    <row r="65" spans="1:12" hidden="1" outlineLevel="1">
      <c r="A65" s="5" t="s">
        <v>1587</v>
      </c>
      <c r="B65" s="134" t="s">
        <v>1598</v>
      </c>
      <c r="C65" s="1442">
        <v>39.92</v>
      </c>
      <c r="D65" s="1381">
        <f t="shared" si="1"/>
        <v>146.37333333333333</v>
      </c>
      <c r="F65" s="360"/>
      <c r="G65" s="587"/>
      <c r="H65" s="1442"/>
    </row>
    <row r="66" spans="1:12" hidden="1" outlineLevel="1">
      <c r="A66" s="5" t="s">
        <v>1588</v>
      </c>
      <c r="B66" s="14" t="s">
        <v>609</v>
      </c>
      <c r="C66" s="573">
        <v>49.76</v>
      </c>
      <c r="D66" s="1381">
        <f t="shared" si="1"/>
        <v>182.45333333333332</v>
      </c>
      <c r="F66" s="360"/>
      <c r="G66" s="587"/>
      <c r="H66" s="573"/>
    </row>
    <row r="67" spans="1:12" hidden="1" outlineLevel="1">
      <c r="A67" s="5" t="s">
        <v>1589</v>
      </c>
      <c r="B67" s="14" t="s">
        <v>610</v>
      </c>
      <c r="C67" s="573">
        <v>18.489999999999998</v>
      </c>
      <c r="D67" s="1381">
        <f t="shared" si="1"/>
        <v>67.796666666666653</v>
      </c>
      <c r="F67" s="360"/>
      <c r="G67" s="587"/>
      <c r="H67" s="573"/>
    </row>
    <row r="68" spans="1:12" hidden="1" outlineLevel="1">
      <c r="A68" s="5" t="s">
        <v>1590</v>
      </c>
      <c r="B68" s="14" t="s">
        <v>611</v>
      </c>
      <c r="C68" s="573">
        <v>17.61</v>
      </c>
      <c r="D68" s="1381">
        <f t="shared" si="1"/>
        <v>64.569999999999993</v>
      </c>
      <c r="F68" s="360"/>
      <c r="G68" s="587"/>
      <c r="H68" s="573"/>
    </row>
    <row r="69" spans="1:12" hidden="1" outlineLevel="1">
      <c r="A69" s="5" t="s">
        <v>1591</v>
      </c>
      <c r="B69" s="14" t="s">
        <v>612</v>
      </c>
      <c r="C69" s="573">
        <v>15.23</v>
      </c>
      <c r="D69" s="1381">
        <f t="shared" si="1"/>
        <v>55.843333333333334</v>
      </c>
      <c r="F69" s="360"/>
      <c r="G69" s="587"/>
      <c r="H69" s="573"/>
    </row>
    <row r="70" spans="1:12" hidden="1" outlineLevel="1">
      <c r="A70" s="5" t="s">
        <v>1592</v>
      </c>
      <c r="B70" s="14" t="s">
        <v>613</v>
      </c>
      <c r="C70" s="573">
        <v>30.54</v>
      </c>
      <c r="D70" s="1381">
        <f t="shared" si="1"/>
        <v>111.97999999999999</v>
      </c>
      <c r="F70" s="360"/>
      <c r="G70" s="587"/>
      <c r="H70" s="573"/>
    </row>
    <row r="71" spans="1:12" hidden="1" outlineLevel="1">
      <c r="A71" s="5" t="s">
        <v>1593</v>
      </c>
      <c r="B71" s="14" t="s">
        <v>614</v>
      </c>
      <c r="C71" s="573">
        <v>4.63</v>
      </c>
      <c r="D71" s="1381">
        <f t="shared" si="1"/>
        <v>16.976666666666667</v>
      </c>
      <c r="E71" s="579"/>
      <c r="F71" s="360"/>
      <c r="G71" s="587"/>
      <c r="H71" s="573"/>
    </row>
    <row r="72" spans="1:12" hidden="1" outlineLevel="1">
      <c r="A72" s="5" t="s">
        <v>1594</v>
      </c>
      <c r="B72" s="14" t="s">
        <v>615</v>
      </c>
      <c r="C72" s="573">
        <v>10.06</v>
      </c>
      <c r="D72" s="1381">
        <f t="shared" si="1"/>
        <v>36.88666666666667</v>
      </c>
      <c r="F72" s="360"/>
      <c r="G72" s="587"/>
      <c r="H72" s="573"/>
    </row>
    <row r="73" spans="1:12" hidden="1" outlineLevel="1">
      <c r="B73" s="14"/>
      <c r="D73" s="1381"/>
      <c r="F73" s="360"/>
      <c r="G73" s="587"/>
      <c r="H73" s="573"/>
    </row>
    <row r="74" spans="1:12" ht="15.75" customHeight="1" collapsed="1" thickBot="1">
      <c r="B74" s="1476" t="s">
        <v>620</v>
      </c>
      <c r="C74" s="1476" t="str">
        <f>$C$14</f>
        <v>tC/ha</v>
      </c>
      <c r="D74" s="1477" t="s">
        <v>1640</v>
      </c>
      <c r="E74" s="1475"/>
      <c r="F74" s="1885"/>
      <c r="G74" s="1885"/>
    </row>
    <row r="75" spans="1:12" hidden="1" outlineLevel="2">
      <c r="B75" s="14" t="s">
        <v>12</v>
      </c>
      <c r="D75" s="579"/>
      <c r="E75" s="579"/>
      <c r="F75" s="360"/>
      <c r="G75" s="587"/>
      <c r="H75" s="573"/>
      <c r="I75" s="7"/>
      <c r="J75" s="7"/>
      <c r="K75" s="7"/>
      <c r="L75" s="7"/>
    </row>
    <row r="76" spans="1:12" hidden="1" outlineLevel="2">
      <c r="A76" s="5" t="s">
        <v>1564</v>
      </c>
      <c r="B76" s="134" t="s">
        <v>586</v>
      </c>
      <c r="C76" s="1442">
        <v>183.3</v>
      </c>
      <c r="D76" s="1381">
        <f t="shared" ref="D76:D113" si="2">(C76*$N$197)</f>
        <v>672.1</v>
      </c>
      <c r="E76" s="579"/>
      <c r="F76" s="360"/>
      <c r="G76" s="587"/>
      <c r="H76" s="1442"/>
      <c r="I76" s="7"/>
      <c r="J76" s="7"/>
      <c r="K76" s="7"/>
      <c r="L76" s="7"/>
    </row>
    <row r="77" spans="1:12" hidden="1" outlineLevel="2">
      <c r="A77" s="5" t="s">
        <v>1565</v>
      </c>
      <c r="B77" s="134" t="s">
        <v>587</v>
      </c>
      <c r="C77" s="1442">
        <v>164.08</v>
      </c>
      <c r="D77" s="1381">
        <f t="shared" si="2"/>
        <v>601.62666666666667</v>
      </c>
      <c r="E77" s="579"/>
      <c r="F77" s="360"/>
      <c r="G77" s="587"/>
      <c r="H77" s="1442"/>
      <c r="I77" s="7"/>
      <c r="J77" s="7"/>
      <c r="K77" s="7"/>
      <c r="L77" s="7"/>
    </row>
    <row r="78" spans="1:12" hidden="1" outlineLevel="2">
      <c r="A78" s="5" t="s">
        <v>1566</v>
      </c>
      <c r="B78" s="134" t="s">
        <v>588</v>
      </c>
      <c r="C78" s="1442">
        <v>88.17</v>
      </c>
      <c r="D78" s="1381">
        <f t="shared" si="2"/>
        <v>323.29000000000002</v>
      </c>
      <c r="E78" s="579"/>
      <c r="F78" s="360"/>
      <c r="G78" s="587"/>
      <c r="H78" s="1442"/>
      <c r="I78" s="7"/>
      <c r="J78" s="7"/>
      <c r="K78" s="7"/>
      <c r="L78" s="7"/>
    </row>
    <row r="79" spans="1:12" hidden="1" outlineLevel="2">
      <c r="A79" s="5" t="s">
        <v>1567</v>
      </c>
      <c r="B79" s="134" t="s">
        <v>589</v>
      </c>
      <c r="C79" s="1442">
        <v>105.11</v>
      </c>
      <c r="D79" s="1381">
        <f t="shared" si="2"/>
        <v>385.40333333333331</v>
      </c>
      <c r="E79" s="579"/>
      <c r="F79" s="360"/>
      <c r="G79" s="587"/>
      <c r="H79" s="1442"/>
      <c r="I79" s="7"/>
      <c r="J79" s="7"/>
      <c r="K79" s="7"/>
      <c r="L79" s="7"/>
    </row>
    <row r="80" spans="1:12" hidden="1" outlineLevel="2">
      <c r="A80" s="5" t="s">
        <v>1596</v>
      </c>
      <c r="B80" s="134" t="s">
        <v>1599</v>
      </c>
      <c r="C80" s="1442">
        <v>127.83</v>
      </c>
      <c r="D80" s="1381">
        <f t="shared" si="2"/>
        <v>468.71</v>
      </c>
      <c r="E80" s="579"/>
      <c r="F80" s="360"/>
      <c r="G80" s="587"/>
      <c r="H80" s="1442"/>
      <c r="I80" s="7"/>
      <c r="J80" s="7"/>
      <c r="K80" s="7"/>
      <c r="L80" s="7"/>
    </row>
    <row r="81" spans="1:12" hidden="1" outlineLevel="2">
      <c r="A81" s="5" t="s">
        <v>1596</v>
      </c>
      <c r="B81" s="134" t="s">
        <v>1600</v>
      </c>
      <c r="C81" s="1442">
        <v>62.7</v>
      </c>
      <c r="D81" s="1381">
        <f t="shared" si="2"/>
        <v>229.9</v>
      </c>
      <c r="E81" s="579"/>
      <c r="F81" s="360"/>
      <c r="G81" s="587"/>
      <c r="H81" s="1442"/>
      <c r="I81" s="7"/>
      <c r="J81" s="7"/>
      <c r="K81" s="7"/>
      <c r="L81" s="7"/>
    </row>
    <row r="82" spans="1:12" hidden="1" outlineLevel="2">
      <c r="A82" s="5" t="s">
        <v>1568</v>
      </c>
      <c r="B82" s="134" t="s">
        <v>1601</v>
      </c>
      <c r="C82" s="1442">
        <v>127.83</v>
      </c>
      <c r="D82" s="1381">
        <f t="shared" si="2"/>
        <v>468.71</v>
      </c>
      <c r="E82" s="579"/>
      <c r="F82" s="360"/>
      <c r="G82" s="587"/>
      <c r="H82" s="1442"/>
      <c r="I82" s="7"/>
      <c r="J82" s="7"/>
      <c r="K82" s="7"/>
      <c r="L82" s="7"/>
    </row>
    <row r="83" spans="1:12" hidden="1" outlineLevel="2">
      <c r="A83" s="5" t="s">
        <v>1568</v>
      </c>
      <c r="B83" s="134" t="s">
        <v>1602</v>
      </c>
      <c r="C83" s="1442">
        <v>62.7</v>
      </c>
      <c r="D83" s="1381">
        <f t="shared" si="2"/>
        <v>229.9</v>
      </c>
      <c r="E83" s="579"/>
      <c r="F83" s="360"/>
      <c r="G83" s="587"/>
      <c r="H83" s="1442"/>
      <c r="I83" s="7"/>
      <c r="J83" s="7"/>
      <c r="K83" s="7"/>
      <c r="L83" s="7"/>
    </row>
    <row r="84" spans="1:12" hidden="1" outlineLevel="2">
      <c r="A84" s="5" t="s">
        <v>1569</v>
      </c>
      <c r="B84" s="134" t="s">
        <v>591</v>
      </c>
      <c r="C84" s="1442">
        <v>225.09</v>
      </c>
      <c r="D84" s="1381">
        <f t="shared" si="2"/>
        <v>825.32999999999993</v>
      </c>
      <c r="E84" s="579"/>
      <c r="F84" s="360"/>
      <c r="G84" s="587"/>
      <c r="H84" s="1442"/>
      <c r="I84" s="7"/>
      <c r="J84" s="7"/>
      <c r="K84" s="7"/>
      <c r="L84" s="7"/>
    </row>
    <row r="85" spans="1:12" hidden="1" outlineLevel="2">
      <c r="A85" s="5" t="s">
        <v>1571</v>
      </c>
      <c r="B85" s="134" t="s">
        <v>593</v>
      </c>
      <c r="C85" s="1442">
        <v>177.75</v>
      </c>
      <c r="D85" s="1381">
        <f t="shared" si="2"/>
        <v>651.75</v>
      </c>
      <c r="E85" s="579"/>
      <c r="F85" s="360"/>
      <c r="G85" s="587"/>
      <c r="H85" s="1442"/>
      <c r="I85" s="7"/>
      <c r="J85" s="7"/>
      <c r="K85" s="7"/>
      <c r="L85" s="7"/>
    </row>
    <row r="86" spans="1:12" hidden="1" outlineLevel="2">
      <c r="A86" s="5" t="s">
        <v>1572</v>
      </c>
      <c r="B86" s="134" t="s">
        <v>594</v>
      </c>
      <c r="C86" s="1442">
        <v>118.48</v>
      </c>
      <c r="D86" s="1381">
        <f t="shared" si="2"/>
        <v>434.42666666666668</v>
      </c>
      <c r="E86" s="579"/>
      <c r="F86" s="360"/>
      <c r="G86" s="587"/>
      <c r="H86" s="1442"/>
      <c r="I86" s="7"/>
      <c r="J86" s="7"/>
      <c r="K86" s="7"/>
      <c r="L86" s="7"/>
    </row>
    <row r="87" spans="1:12" hidden="1" outlineLevel="2">
      <c r="A87" s="5" t="s">
        <v>1603</v>
      </c>
      <c r="B87" s="134" t="s">
        <v>621</v>
      </c>
      <c r="C87" s="1442">
        <v>27.85</v>
      </c>
      <c r="D87" s="1381">
        <f t="shared" si="2"/>
        <v>102.11666666666667</v>
      </c>
      <c r="E87" s="579"/>
      <c r="F87" s="360"/>
      <c r="G87" s="587"/>
      <c r="H87" s="1442"/>
      <c r="I87" s="7"/>
      <c r="J87" s="7"/>
      <c r="K87" s="7"/>
      <c r="L87" s="7"/>
    </row>
    <row r="88" spans="1:12" hidden="1" outlineLevel="2">
      <c r="A88" s="5" t="s">
        <v>1573</v>
      </c>
      <c r="B88" s="134" t="s">
        <v>1604</v>
      </c>
      <c r="C88" s="1442">
        <v>75.89</v>
      </c>
      <c r="D88" s="1381">
        <f t="shared" si="2"/>
        <v>278.26333333333332</v>
      </c>
      <c r="E88" s="579"/>
      <c r="F88" s="360"/>
      <c r="G88" s="587"/>
      <c r="H88" s="1442"/>
      <c r="I88" s="7"/>
      <c r="J88" s="7"/>
      <c r="K88" s="7"/>
      <c r="L88" s="7"/>
    </row>
    <row r="89" spans="1:12" hidden="1" outlineLevel="2">
      <c r="A89" s="5" t="s">
        <v>1573</v>
      </c>
      <c r="B89" s="134" t="s">
        <v>1605</v>
      </c>
      <c r="C89" s="1442">
        <v>167.52</v>
      </c>
      <c r="D89" s="1381">
        <f t="shared" si="2"/>
        <v>614.24</v>
      </c>
      <c r="E89" s="579"/>
      <c r="F89" s="360"/>
      <c r="G89" s="587"/>
      <c r="H89" s="1442"/>
      <c r="I89" s="7"/>
      <c r="J89" s="7"/>
      <c r="K89" s="7"/>
      <c r="L89" s="7"/>
    </row>
    <row r="90" spans="1:12" hidden="1" outlineLevel="2">
      <c r="A90" s="5" t="s">
        <v>1573</v>
      </c>
      <c r="B90" s="134" t="s">
        <v>1606</v>
      </c>
      <c r="C90" s="1442">
        <v>98.27</v>
      </c>
      <c r="D90" s="1381">
        <f t="shared" si="2"/>
        <v>360.32333333333332</v>
      </c>
      <c r="E90" s="579"/>
      <c r="F90" s="360"/>
      <c r="G90" s="587"/>
      <c r="H90" s="1442"/>
      <c r="I90" s="7"/>
      <c r="J90" s="7"/>
      <c r="K90" s="7"/>
      <c r="L90" s="7"/>
    </row>
    <row r="91" spans="1:12" hidden="1" outlineLevel="2">
      <c r="A91" s="5" t="s">
        <v>1573</v>
      </c>
      <c r="B91" s="134" t="s">
        <v>1607</v>
      </c>
      <c r="C91" s="1442">
        <v>86.08</v>
      </c>
      <c r="D91" s="1381">
        <f t="shared" si="2"/>
        <v>315.62666666666667</v>
      </c>
      <c r="E91" s="579"/>
      <c r="F91" s="360"/>
      <c r="G91" s="587"/>
      <c r="H91" s="1442"/>
      <c r="I91" s="7"/>
      <c r="J91" s="7"/>
      <c r="K91" s="7"/>
      <c r="L91" s="7"/>
    </row>
    <row r="92" spans="1:12" hidden="1" outlineLevel="2">
      <c r="A92" s="5" t="s">
        <v>1575</v>
      </c>
      <c r="B92" s="134" t="s">
        <v>1608</v>
      </c>
      <c r="C92" s="1442">
        <v>87.55</v>
      </c>
      <c r="D92" s="1381">
        <f t="shared" si="2"/>
        <v>321.01666666666665</v>
      </c>
      <c r="E92" s="579"/>
      <c r="F92" s="360"/>
      <c r="G92" s="587"/>
      <c r="H92" s="1442"/>
      <c r="I92" s="7"/>
      <c r="J92" s="7"/>
      <c r="K92" s="7"/>
      <c r="L92" s="7"/>
    </row>
    <row r="93" spans="1:12" hidden="1" outlineLevel="2">
      <c r="A93" s="5" t="s">
        <v>1575</v>
      </c>
      <c r="B93" s="134" t="s">
        <v>1609</v>
      </c>
      <c r="C93" s="1442">
        <v>145.37</v>
      </c>
      <c r="D93" s="1381">
        <f t="shared" si="2"/>
        <v>533.02333333333331</v>
      </c>
      <c r="E93" s="579"/>
      <c r="F93" s="360"/>
      <c r="G93" s="587"/>
      <c r="H93" s="1442"/>
      <c r="I93" s="7"/>
      <c r="J93" s="7"/>
      <c r="K93" s="7"/>
      <c r="L93" s="7"/>
    </row>
    <row r="94" spans="1:12" hidden="1" outlineLevel="2">
      <c r="A94" s="5" t="s">
        <v>1576</v>
      </c>
      <c r="B94" s="134" t="s">
        <v>1610</v>
      </c>
      <c r="C94" s="1442">
        <v>106.88</v>
      </c>
      <c r="D94" s="1381">
        <f t="shared" si="2"/>
        <v>391.89333333333332</v>
      </c>
      <c r="E94" s="579"/>
      <c r="F94" s="360"/>
      <c r="G94" s="587"/>
      <c r="H94" s="1442"/>
      <c r="I94" s="7"/>
      <c r="J94" s="7"/>
      <c r="K94" s="7"/>
      <c r="L94" s="7"/>
    </row>
    <row r="95" spans="1:12" hidden="1" outlineLevel="2">
      <c r="A95" s="5" t="s">
        <v>1577</v>
      </c>
      <c r="B95" s="134" t="s">
        <v>1611</v>
      </c>
      <c r="C95" s="1442">
        <v>54.98</v>
      </c>
      <c r="D95" s="1381">
        <f t="shared" si="2"/>
        <v>201.59333333333331</v>
      </c>
      <c r="E95" s="579"/>
      <c r="F95" s="360"/>
      <c r="G95" s="587"/>
      <c r="H95" s="1442"/>
      <c r="I95" s="7"/>
      <c r="J95" s="7"/>
      <c r="K95" s="7"/>
      <c r="L95" s="7"/>
    </row>
    <row r="96" spans="1:12" hidden="1" outlineLevel="2">
      <c r="A96" s="5" t="s">
        <v>1577</v>
      </c>
      <c r="B96" s="134" t="s">
        <v>1612</v>
      </c>
      <c r="C96" s="1442">
        <v>87.55</v>
      </c>
      <c r="D96" s="1381">
        <f t="shared" si="2"/>
        <v>321.01666666666665</v>
      </c>
      <c r="E96" s="579"/>
      <c r="F96" s="360"/>
      <c r="G96" s="587"/>
      <c r="H96" s="1442"/>
      <c r="I96" s="7"/>
      <c r="J96" s="7"/>
      <c r="K96" s="7"/>
      <c r="L96" s="7"/>
    </row>
    <row r="97" spans="1:12" hidden="1" outlineLevel="2">
      <c r="A97" s="5" t="s">
        <v>1613</v>
      </c>
      <c r="B97" s="134" t="s">
        <v>622</v>
      </c>
      <c r="C97" s="1442">
        <v>142.66</v>
      </c>
      <c r="D97" s="1381">
        <f t="shared" si="2"/>
        <v>523.08666666666659</v>
      </c>
      <c r="E97" s="579"/>
      <c r="F97" s="360"/>
      <c r="G97" s="587"/>
      <c r="H97" s="1442"/>
      <c r="I97" s="7"/>
      <c r="J97" s="7"/>
      <c r="K97" s="7"/>
      <c r="L97" s="7"/>
    </row>
    <row r="98" spans="1:12" hidden="1" outlineLevel="2">
      <c r="A98" s="5" t="s">
        <v>1614</v>
      </c>
      <c r="B98" s="134" t="s">
        <v>623</v>
      </c>
      <c r="C98" s="1442">
        <v>142.66</v>
      </c>
      <c r="D98" s="1381">
        <f t="shared" si="2"/>
        <v>523.08666666666659</v>
      </c>
      <c r="E98" s="579"/>
      <c r="F98" s="360"/>
      <c r="G98" s="587"/>
      <c r="H98" s="1442"/>
      <c r="I98" s="7"/>
      <c r="J98" s="7"/>
      <c r="K98" s="7"/>
      <c r="L98" s="7"/>
    </row>
    <row r="99" spans="1:12" hidden="1" outlineLevel="2">
      <c r="A99" s="5" t="s">
        <v>1582</v>
      </c>
      <c r="B99" s="134" t="s">
        <v>603</v>
      </c>
      <c r="C99" s="1442">
        <v>36.24</v>
      </c>
      <c r="D99" s="1381">
        <f t="shared" si="2"/>
        <v>132.88</v>
      </c>
      <c r="E99" s="579"/>
      <c r="F99" s="360"/>
      <c r="G99" s="587"/>
      <c r="H99" s="1442"/>
      <c r="I99" s="7"/>
      <c r="J99" s="7"/>
      <c r="K99" s="7"/>
      <c r="L99" s="7"/>
    </row>
    <row r="100" spans="1:12" hidden="1" outlineLevel="2">
      <c r="A100" s="5" t="s">
        <v>1583</v>
      </c>
      <c r="B100" s="134" t="s">
        <v>604</v>
      </c>
      <c r="C100" s="1443">
        <v>117.2</v>
      </c>
      <c r="D100" s="1381">
        <f t="shared" si="2"/>
        <v>429.73333333333335</v>
      </c>
      <c r="E100" s="579"/>
      <c r="F100" s="360"/>
      <c r="G100" s="587"/>
      <c r="H100" s="1443"/>
      <c r="I100" s="7"/>
      <c r="J100" s="7"/>
      <c r="K100" s="7"/>
      <c r="L100" s="7"/>
    </row>
    <row r="101" spans="1:12" hidden="1" outlineLevel="2">
      <c r="A101" s="5" t="s">
        <v>1584</v>
      </c>
      <c r="B101" s="134" t="s">
        <v>605</v>
      </c>
      <c r="C101" s="1442">
        <v>130.69999999999999</v>
      </c>
      <c r="D101" s="1381">
        <f t="shared" si="2"/>
        <v>479.23333333333329</v>
      </c>
      <c r="E101" s="579"/>
      <c r="F101" s="360"/>
      <c r="G101" s="587"/>
      <c r="H101" s="1442"/>
      <c r="I101" s="7"/>
      <c r="J101" s="7"/>
      <c r="K101" s="7"/>
      <c r="L101" s="7"/>
    </row>
    <row r="102" spans="1:12" hidden="1" outlineLevel="2">
      <c r="A102" s="5" t="s">
        <v>1585</v>
      </c>
      <c r="B102" s="134" t="s">
        <v>606</v>
      </c>
      <c r="C102" s="1442">
        <v>18.489999999999998</v>
      </c>
      <c r="D102" s="1381">
        <f t="shared" si="2"/>
        <v>67.796666666666653</v>
      </c>
      <c r="E102" s="579"/>
      <c r="F102" s="360"/>
      <c r="G102" s="587"/>
      <c r="H102" s="1442"/>
      <c r="I102" s="7"/>
      <c r="J102" s="7"/>
      <c r="K102" s="7"/>
      <c r="L102" s="7"/>
    </row>
    <row r="103" spans="1:12" hidden="1" outlineLevel="2">
      <c r="A103" s="5" t="s">
        <v>1587</v>
      </c>
      <c r="B103" s="134" t="s">
        <v>608</v>
      </c>
      <c r="C103" s="1442">
        <v>39.92</v>
      </c>
      <c r="D103" s="1381">
        <f t="shared" si="2"/>
        <v>146.37333333333333</v>
      </c>
      <c r="E103" s="579"/>
      <c r="F103" s="360"/>
      <c r="G103" s="587"/>
      <c r="H103" s="1442"/>
      <c r="I103" s="7"/>
      <c r="J103" s="7"/>
      <c r="K103" s="7"/>
      <c r="L103" s="7"/>
    </row>
    <row r="104" spans="1:12" hidden="1" outlineLevel="2">
      <c r="A104" s="5" t="s">
        <v>1588</v>
      </c>
      <c r="B104" s="134" t="s">
        <v>1615</v>
      </c>
      <c r="C104" s="1442">
        <v>52.42</v>
      </c>
      <c r="D104" s="1381">
        <f t="shared" si="2"/>
        <v>192.20666666666668</v>
      </c>
      <c r="E104" s="579"/>
      <c r="F104" s="360"/>
      <c r="G104" s="587"/>
      <c r="H104" s="1442"/>
      <c r="I104" s="7"/>
      <c r="J104" s="7"/>
      <c r="K104" s="7"/>
      <c r="L104" s="7"/>
    </row>
    <row r="105" spans="1:12" hidden="1" outlineLevel="2">
      <c r="A105" s="5" t="s">
        <v>1588</v>
      </c>
      <c r="B105" s="134" t="s">
        <v>1616</v>
      </c>
      <c r="C105" s="1442">
        <v>49.76</v>
      </c>
      <c r="D105" s="1381">
        <f t="shared" si="2"/>
        <v>182.45333333333332</v>
      </c>
      <c r="E105" s="579"/>
      <c r="F105" s="360"/>
      <c r="G105" s="587"/>
      <c r="H105" s="1442"/>
      <c r="I105" s="7"/>
      <c r="J105" s="7"/>
      <c r="K105" s="7"/>
      <c r="L105" s="7"/>
    </row>
    <row r="106" spans="1:12" hidden="1" outlineLevel="2">
      <c r="A106" s="5" t="s">
        <v>1588</v>
      </c>
      <c r="B106" s="134" t="s">
        <v>1617</v>
      </c>
      <c r="C106" s="1442">
        <v>103.45</v>
      </c>
      <c r="D106" s="1381">
        <f t="shared" si="2"/>
        <v>379.31666666666666</v>
      </c>
      <c r="E106" s="579"/>
      <c r="F106" s="360"/>
      <c r="G106" s="587"/>
      <c r="H106" s="1442"/>
      <c r="I106" s="7"/>
      <c r="J106" s="7"/>
      <c r="K106" s="7"/>
      <c r="L106" s="7"/>
    </row>
    <row r="107" spans="1:12" hidden="1" outlineLevel="2">
      <c r="A107" s="5" t="s">
        <v>1588</v>
      </c>
      <c r="B107" s="134" t="s">
        <v>1618</v>
      </c>
      <c r="C107" s="1442">
        <v>68.989999999999995</v>
      </c>
      <c r="D107" s="1381">
        <f t="shared" si="2"/>
        <v>252.96333333333331</v>
      </c>
      <c r="E107" s="579"/>
      <c r="F107" s="360"/>
      <c r="G107" s="587"/>
      <c r="H107" s="1442"/>
      <c r="I107" s="7"/>
      <c r="J107" s="7"/>
      <c r="K107" s="7"/>
      <c r="L107" s="7"/>
    </row>
    <row r="108" spans="1:12" hidden="1" outlineLevel="2">
      <c r="A108" s="5" t="s">
        <v>1589</v>
      </c>
      <c r="B108" s="134" t="s">
        <v>610</v>
      </c>
      <c r="C108" s="1442">
        <v>18.489999999999998</v>
      </c>
      <c r="D108" s="1381">
        <f t="shared" si="2"/>
        <v>67.796666666666653</v>
      </c>
      <c r="E108" s="579"/>
      <c r="F108" s="360"/>
      <c r="G108" s="587"/>
      <c r="H108" s="1442"/>
      <c r="I108" s="7"/>
      <c r="J108" s="7"/>
      <c r="K108" s="7"/>
      <c r="L108" s="7"/>
    </row>
    <row r="109" spans="1:12" hidden="1" outlineLevel="2">
      <c r="A109" s="5" t="s">
        <v>1590</v>
      </c>
      <c r="B109" s="134" t="s">
        <v>611</v>
      </c>
      <c r="C109" s="1442">
        <v>24.65</v>
      </c>
      <c r="D109" s="1381">
        <f t="shared" si="2"/>
        <v>90.383333333333326</v>
      </c>
      <c r="E109" s="579"/>
      <c r="F109" s="360"/>
      <c r="G109" s="587"/>
      <c r="H109" s="1442"/>
      <c r="I109" s="7"/>
      <c r="J109" s="7"/>
      <c r="K109" s="7"/>
      <c r="L109" s="7"/>
    </row>
    <row r="110" spans="1:12" hidden="1" outlineLevel="2">
      <c r="A110" s="5" t="s">
        <v>1591</v>
      </c>
      <c r="B110" s="134" t="s">
        <v>612</v>
      </c>
      <c r="C110" s="1442">
        <v>15.23</v>
      </c>
      <c r="D110" s="1381">
        <f t="shared" si="2"/>
        <v>55.843333333333334</v>
      </c>
      <c r="E110" s="579"/>
      <c r="F110" s="360"/>
      <c r="G110" s="587"/>
      <c r="H110" s="1442"/>
      <c r="I110" s="7"/>
      <c r="J110" s="7"/>
      <c r="K110" s="7"/>
      <c r="L110" s="7"/>
    </row>
    <row r="111" spans="1:12" hidden="1" outlineLevel="2">
      <c r="A111" s="5" t="s">
        <v>1592</v>
      </c>
      <c r="B111" s="134" t="s">
        <v>613</v>
      </c>
      <c r="C111" s="1442">
        <v>30.54</v>
      </c>
      <c r="D111" s="1381">
        <f t="shared" si="2"/>
        <v>111.97999999999999</v>
      </c>
      <c r="E111" s="579"/>
      <c r="F111" s="360"/>
      <c r="G111" s="587"/>
      <c r="H111" s="1442"/>
      <c r="I111" s="7"/>
      <c r="J111" s="7"/>
      <c r="K111" s="7"/>
      <c r="L111" s="7"/>
    </row>
    <row r="112" spans="1:12" hidden="1" outlineLevel="2">
      <c r="A112" s="5" t="s">
        <v>1593</v>
      </c>
      <c r="B112" s="134" t="s">
        <v>614</v>
      </c>
      <c r="C112" s="1442">
        <v>5.27</v>
      </c>
      <c r="D112" s="1381">
        <f t="shared" si="2"/>
        <v>19.323333333333331</v>
      </c>
      <c r="E112" s="579"/>
      <c r="F112" s="360"/>
      <c r="G112" s="587"/>
      <c r="H112" s="1442"/>
      <c r="I112" s="7"/>
      <c r="J112" s="7"/>
      <c r="K112" s="7"/>
      <c r="L112" s="7"/>
    </row>
    <row r="113" spans="1:12" hidden="1" outlineLevel="2">
      <c r="A113" s="5" t="s">
        <v>1594</v>
      </c>
      <c r="B113" s="134" t="s">
        <v>615</v>
      </c>
      <c r="C113" s="1442">
        <v>11.45</v>
      </c>
      <c r="D113" s="1381">
        <f t="shared" si="2"/>
        <v>41.983333333333327</v>
      </c>
      <c r="E113" s="579"/>
      <c r="F113" s="360"/>
      <c r="G113" s="587"/>
      <c r="H113" s="1442"/>
      <c r="I113" s="7"/>
      <c r="J113" s="7"/>
      <c r="K113" s="7"/>
      <c r="L113" s="7"/>
    </row>
    <row r="114" spans="1:12" hidden="1" outlineLevel="2">
      <c r="B114" s="134"/>
      <c r="C114" s="1442"/>
      <c r="D114" s="1381"/>
      <c r="E114" s="579"/>
      <c r="F114" s="360"/>
      <c r="G114" s="587"/>
      <c r="H114" s="1442"/>
      <c r="I114" s="7"/>
      <c r="J114" s="7"/>
      <c r="K114" s="7"/>
      <c r="L114" s="7"/>
    </row>
    <row r="115" spans="1:12" ht="15.75" customHeight="1" collapsed="1" thickBot="1">
      <c r="B115" s="1476" t="s">
        <v>624</v>
      </c>
      <c r="C115" s="1476" t="str">
        <f>$C$14</f>
        <v>tC/ha</v>
      </c>
      <c r="D115" s="1477" t="s">
        <v>1640</v>
      </c>
      <c r="E115" s="1475"/>
      <c r="F115" s="1885"/>
      <c r="G115" s="1885"/>
      <c r="I115" s="7"/>
      <c r="J115" s="7"/>
      <c r="K115" s="7"/>
      <c r="L115" s="7"/>
    </row>
    <row r="116" spans="1:12" hidden="1" outlineLevel="1">
      <c r="B116" s="14" t="s">
        <v>12</v>
      </c>
      <c r="D116" s="579"/>
      <c r="E116" s="579"/>
      <c r="F116" s="360"/>
      <c r="G116" s="587"/>
      <c r="H116" s="573"/>
      <c r="I116" s="7"/>
      <c r="J116" s="7"/>
      <c r="K116" s="7"/>
      <c r="L116" s="7"/>
    </row>
    <row r="117" spans="1:12" hidden="1" outlineLevel="1">
      <c r="A117" s="5" t="s">
        <v>1564</v>
      </c>
      <c r="B117" s="14" t="s">
        <v>586</v>
      </c>
      <c r="C117" s="573">
        <v>47.03</v>
      </c>
      <c r="D117" s="1381">
        <f t="shared" ref="D117:D152" si="3">(C117*$N$197)</f>
        <v>172.44333333333333</v>
      </c>
      <c r="E117" s="579"/>
      <c r="F117" s="360"/>
      <c r="G117" s="587"/>
      <c r="H117" s="573"/>
      <c r="I117" s="7"/>
      <c r="J117" s="7"/>
      <c r="K117" s="7"/>
      <c r="L117" s="7"/>
    </row>
    <row r="118" spans="1:12" hidden="1" outlineLevel="1">
      <c r="A118" s="5" t="s">
        <v>1565</v>
      </c>
      <c r="B118" s="14" t="s">
        <v>587</v>
      </c>
      <c r="C118" s="573">
        <v>47.03</v>
      </c>
      <c r="D118" s="1381">
        <f t="shared" si="3"/>
        <v>172.44333333333333</v>
      </c>
      <c r="E118" s="579"/>
      <c r="F118" s="360"/>
      <c r="G118" s="587"/>
      <c r="H118" s="573"/>
      <c r="I118" s="7"/>
      <c r="J118" s="7"/>
      <c r="K118" s="7"/>
      <c r="L118" s="7"/>
    </row>
    <row r="119" spans="1:12" hidden="1" outlineLevel="1">
      <c r="A119" s="5" t="s">
        <v>1595</v>
      </c>
      <c r="B119" s="14" t="s">
        <v>617</v>
      </c>
      <c r="C119" s="573">
        <v>47.03</v>
      </c>
      <c r="D119" s="1381">
        <f t="shared" si="3"/>
        <v>172.44333333333333</v>
      </c>
      <c r="E119" s="579"/>
      <c r="F119" s="360"/>
      <c r="G119" s="587"/>
      <c r="H119" s="573"/>
      <c r="I119" s="7"/>
      <c r="J119" s="7"/>
      <c r="K119" s="7"/>
      <c r="L119" s="7"/>
    </row>
    <row r="120" spans="1:12" hidden="1" outlineLevel="1">
      <c r="A120" s="5" t="s">
        <v>1619</v>
      </c>
      <c r="B120" s="14" t="s">
        <v>588</v>
      </c>
      <c r="C120" s="573">
        <v>47.03</v>
      </c>
      <c r="D120" s="1381">
        <f t="shared" si="3"/>
        <v>172.44333333333333</v>
      </c>
      <c r="E120" s="579"/>
      <c r="F120" s="360"/>
      <c r="G120" s="587"/>
      <c r="H120" s="573"/>
      <c r="I120" s="7"/>
      <c r="J120" s="7"/>
      <c r="K120" s="7"/>
      <c r="L120" s="7"/>
    </row>
    <row r="121" spans="1:12" hidden="1" outlineLevel="1">
      <c r="A121" s="5" t="s">
        <v>1620</v>
      </c>
      <c r="B121" s="14" t="s">
        <v>625</v>
      </c>
      <c r="C121" s="573">
        <v>121.76</v>
      </c>
      <c r="D121" s="1381">
        <f t="shared" si="3"/>
        <v>446.45333333333332</v>
      </c>
      <c r="E121" s="579"/>
      <c r="F121" s="360"/>
      <c r="G121" s="587"/>
      <c r="H121" s="573"/>
      <c r="I121" s="7"/>
      <c r="J121" s="7"/>
      <c r="K121" s="7"/>
      <c r="L121" s="7"/>
    </row>
    <row r="122" spans="1:12" hidden="1" outlineLevel="1">
      <c r="A122" s="5" t="s">
        <v>1567</v>
      </c>
      <c r="B122" s="14" t="s">
        <v>589</v>
      </c>
      <c r="C122" s="573">
        <v>62.7</v>
      </c>
      <c r="D122" s="1381">
        <f t="shared" si="3"/>
        <v>229.9</v>
      </c>
      <c r="E122" s="579"/>
      <c r="F122" s="360"/>
      <c r="G122" s="587"/>
      <c r="H122" s="573"/>
      <c r="I122" s="7"/>
      <c r="J122" s="7"/>
      <c r="K122" s="7"/>
      <c r="L122" s="7"/>
    </row>
    <row r="123" spans="1:12" hidden="1" outlineLevel="1">
      <c r="A123" s="5" t="s">
        <v>1596</v>
      </c>
      <c r="B123" s="14" t="s">
        <v>618</v>
      </c>
      <c r="C123" s="573">
        <v>106.41</v>
      </c>
      <c r="D123" s="1381">
        <f t="shared" si="3"/>
        <v>390.16999999999996</v>
      </c>
      <c r="E123" s="579"/>
      <c r="F123" s="360"/>
      <c r="G123" s="587"/>
      <c r="H123" s="573"/>
      <c r="I123" s="7"/>
      <c r="J123" s="7"/>
      <c r="K123" s="7"/>
      <c r="L123" s="7"/>
    </row>
    <row r="124" spans="1:12" hidden="1" outlineLevel="1">
      <c r="A124" s="5" t="s">
        <v>1568</v>
      </c>
      <c r="B124" s="14" t="s">
        <v>590</v>
      </c>
      <c r="C124" s="573">
        <v>106.41</v>
      </c>
      <c r="D124" s="1381">
        <f t="shared" si="3"/>
        <v>390.16999999999996</v>
      </c>
      <c r="E124" s="579"/>
      <c r="F124" s="360"/>
      <c r="G124" s="587"/>
      <c r="H124" s="573"/>
      <c r="I124" s="7"/>
      <c r="J124" s="7"/>
      <c r="K124" s="7"/>
      <c r="L124" s="7"/>
    </row>
    <row r="125" spans="1:12" hidden="1" outlineLevel="1">
      <c r="A125" s="5" t="s">
        <v>1569</v>
      </c>
      <c r="B125" s="14" t="s">
        <v>591</v>
      </c>
      <c r="C125" s="573">
        <v>173.83</v>
      </c>
      <c r="D125" s="1381">
        <f t="shared" si="3"/>
        <v>637.37666666666667</v>
      </c>
      <c r="E125" s="579"/>
      <c r="F125" s="360"/>
      <c r="G125" s="587"/>
      <c r="H125" s="573"/>
      <c r="I125" s="7"/>
      <c r="J125" s="7"/>
      <c r="K125" s="7"/>
      <c r="L125" s="7"/>
    </row>
    <row r="126" spans="1:12" hidden="1" outlineLevel="1">
      <c r="A126" s="5" t="s">
        <v>1570</v>
      </c>
      <c r="B126" s="14" t="s">
        <v>592</v>
      </c>
      <c r="C126" s="573">
        <v>128.41999999999999</v>
      </c>
      <c r="D126" s="1381">
        <f t="shared" si="3"/>
        <v>470.87333333333328</v>
      </c>
      <c r="E126" s="579"/>
      <c r="F126" s="360"/>
      <c r="G126" s="587"/>
      <c r="H126" s="573"/>
      <c r="I126" s="7"/>
      <c r="J126" s="7"/>
      <c r="K126" s="7"/>
      <c r="L126" s="7"/>
    </row>
    <row r="127" spans="1:12" hidden="1" outlineLevel="1">
      <c r="A127" s="5" t="s">
        <v>1571</v>
      </c>
      <c r="B127" s="14" t="s">
        <v>593</v>
      </c>
      <c r="C127" s="573">
        <v>177.75</v>
      </c>
      <c r="D127" s="1381">
        <f t="shared" si="3"/>
        <v>651.75</v>
      </c>
      <c r="E127" s="579"/>
      <c r="F127" s="360"/>
      <c r="G127" s="587"/>
      <c r="H127" s="573"/>
      <c r="I127" s="7"/>
      <c r="J127" s="7"/>
      <c r="K127" s="7"/>
      <c r="L127" s="7"/>
    </row>
    <row r="128" spans="1:12" hidden="1" outlineLevel="1">
      <c r="A128" s="5" t="s">
        <v>1621</v>
      </c>
      <c r="B128" s="14" t="s">
        <v>626</v>
      </c>
      <c r="C128" s="573">
        <v>105.53</v>
      </c>
      <c r="D128" s="1381">
        <f t="shared" si="3"/>
        <v>386.94333333333333</v>
      </c>
      <c r="E128" s="579"/>
      <c r="F128" s="360"/>
      <c r="G128" s="587"/>
      <c r="H128" s="573"/>
      <c r="I128" s="7"/>
      <c r="J128" s="7"/>
      <c r="K128" s="7"/>
      <c r="L128" s="7"/>
    </row>
    <row r="129" spans="1:12" hidden="1" outlineLevel="1">
      <c r="A129" s="5" t="s">
        <v>1572</v>
      </c>
      <c r="B129" s="14" t="s">
        <v>594</v>
      </c>
      <c r="C129" s="573">
        <v>151.41999999999999</v>
      </c>
      <c r="D129" s="1381">
        <f t="shared" si="3"/>
        <v>555.20666666666659</v>
      </c>
      <c r="E129" s="579"/>
      <c r="F129" s="360"/>
      <c r="G129" s="587"/>
      <c r="H129" s="573"/>
      <c r="I129" s="7"/>
      <c r="J129" s="7"/>
      <c r="K129" s="7"/>
      <c r="L129" s="7"/>
    </row>
    <row r="130" spans="1:12" hidden="1" outlineLevel="1">
      <c r="A130" s="5" t="s">
        <v>1603</v>
      </c>
      <c r="B130" s="14" t="s">
        <v>621</v>
      </c>
      <c r="C130" s="573">
        <v>27.85</v>
      </c>
      <c r="D130" s="1381">
        <f t="shared" si="3"/>
        <v>102.11666666666667</v>
      </c>
      <c r="E130" s="579"/>
      <c r="F130" s="360"/>
      <c r="G130" s="587"/>
      <c r="H130" s="573"/>
      <c r="I130" s="7"/>
      <c r="J130" s="7"/>
      <c r="K130" s="7"/>
      <c r="L130" s="7"/>
    </row>
    <row r="131" spans="1:12" hidden="1" outlineLevel="1">
      <c r="A131" s="5" t="s">
        <v>1622</v>
      </c>
      <c r="B131" s="14" t="s">
        <v>627</v>
      </c>
      <c r="C131" s="573">
        <v>2.12</v>
      </c>
      <c r="D131" s="1381">
        <f t="shared" si="3"/>
        <v>7.7733333333333334</v>
      </c>
      <c r="E131" s="579"/>
      <c r="F131" s="360"/>
      <c r="G131" s="587"/>
      <c r="H131" s="573"/>
      <c r="I131" s="7"/>
      <c r="J131" s="7"/>
      <c r="K131" s="7"/>
      <c r="L131" s="7"/>
    </row>
    <row r="132" spans="1:12" hidden="1" outlineLevel="1">
      <c r="A132" s="5" t="s">
        <v>1573</v>
      </c>
      <c r="B132" s="14" t="s">
        <v>595</v>
      </c>
      <c r="C132" s="573">
        <v>75.89</v>
      </c>
      <c r="D132" s="1381">
        <f t="shared" si="3"/>
        <v>278.26333333333332</v>
      </c>
      <c r="E132" s="579"/>
      <c r="F132" s="360"/>
      <c r="G132" s="587"/>
      <c r="H132" s="573"/>
      <c r="I132" s="7"/>
      <c r="J132" s="7"/>
      <c r="K132" s="7"/>
      <c r="L132" s="7"/>
    </row>
    <row r="133" spans="1:12" hidden="1" outlineLevel="1">
      <c r="A133" s="5" t="s">
        <v>1575</v>
      </c>
      <c r="B133" s="14" t="s">
        <v>596</v>
      </c>
      <c r="C133" s="573">
        <v>87.55</v>
      </c>
      <c r="D133" s="1381">
        <f t="shared" si="3"/>
        <v>321.01666666666665</v>
      </c>
      <c r="E133" s="579"/>
      <c r="F133" s="360"/>
      <c r="G133" s="587"/>
      <c r="H133" s="573"/>
      <c r="I133" s="7"/>
      <c r="J133" s="7"/>
      <c r="K133" s="7"/>
      <c r="L133" s="7"/>
    </row>
    <row r="134" spans="1:12" hidden="1" outlineLevel="1">
      <c r="A134" s="5" t="s">
        <v>1576</v>
      </c>
      <c r="B134" s="14" t="s">
        <v>597</v>
      </c>
      <c r="C134" s="573">
        <v>106.88</v>
      </c>
      <c r="D134" s="1381">
        <f t="shared" si="3"/>
        <v>391.89333333333332</v>
      </c>
      <c r="E134" s="579"/>
      <c r="F134" s="360"/>
      <c r="G134" s="587"/>
      <c r="H134" s="573"/>
      <c r="I134" s="7"/>
      <c r="J134" s="7"/>
      <c r="K134" s="7"/>
      <c r="L134" s="7"/>
    </row>
    <row r="135" spans="1:12" hidden="1" outlineLevel="1">
      <c r="A135" s="5" t="s">
        <v>1577</v>
      </c>
      <c r="B135" s="14" t="s">
        <v>598</v>
      </c>
      <c r="C135" s="1051">
        <v>123.07</v>
      </c>
      <c r="D135" s="1381">
        <f t="shared" si="3"/>
        <v>451.2566666666666</v>
      </c>
      <c r="E135" s="579"/>
      <c r="F135" s="360"/>
      <c r="G135" s="587"/>
      <c r="H135" s="1051"/>
      <c r="I135" s="7"/>
      <c r="J135" s="7"/>
      <c r="K135" s="7"/>
      <c r="L135" s="7"/>
    </row>
    <row r="136" spans="1:12" hidden="1" outlineLevel="1">
      <c r="A136" s="5" t="s">
        <v>1623</v>
      </c>
      <c r="B136" s="14" t="s">
        <v>628</v>
      </c>
      <c r="C136" s="573">
        <v>123.21</v>
      </c>
      <c r="D136" s="1381">
        <f t="shared" si="3"/>
        <v>451.77</v>
      </c>
      <c r="E136" s="579"/>
      <c r="F136" s="360"/>
      <c r="G136" s="587"/>
      <c r="H136" s="573"/>
      <c r="I136" s="7"/>
      <c r="J136" s="7"/>
      <c r="K136" s="7"/>
      <c r="L136" s="7"/>
    </row>
    <row r="137" spans="1:12" hidden="1" outlineLevel="1">
      <c r="A137" s="5" t="s">
        <v>1613</v>
      </c>
      <c r="B137" s="14" t="s">
        <v>622</v>
      </c>
      <c r="C137" s="573">
        <v>142.66</v>
      </c>
      <c r="D137" s="1381">
        <f t="shared" si="3"/>
        <v>523.08666666666659</v>
      </c>
      <c r="E137" s="579"/>
      <c r="F137" s="360"/>
      <c r="G137" s="587"/>
      <c r="H137" s="573"/>
      <c r="I137" s="7"/>
      <c r="J137" s="7"/>
      <c r="K137" s="7"/>
      <c r="L137" s="7"/>
    </row>
    <row r="138" spans="1:12" hidden="1" outlineLevel="1">
      <c r="A138" s="5" t="s">
        <v>1614</v>
      </c>
      <c r="B138" s="14" t="s">
        <v>623</v>
      </c>
      <c r="C138" s="573">
        <v>142.66</v>
      </c>
      <c r="D138" s="1381">
        <f t="shared" si="3"/>
        <v>523.08666666666659</v>
      </c>
      <c r="E138" s="579"/>
      <c r="F138" s="360"/>
      <c r="G138" s="587"/>
      <c r="H138" s="573"/>
      <c r="I138" s="7"/>
      <c r="J138" s="7"/>
      <c r="K138" s="7"/>
      <c r="L138" s="7"/>
    </row>
    <row r="139" spans="1:12" hidden="1" outlineLevel="1">
      <c r="A139" s="5" t="s">
        <v>1624</v>
      </c>
      <c r="B139" s="14" t="s">
        <v>629</v>
      </c>
      <c r="C139" s="573">
        <v>142.66</v>
      </c>
      <c r="D139" s="1381">
        <f t="shared" si="3"/>
        <v>523.08666666666659</v>
      </c>
      <c r="E139" s="579"/>
      <c r="F139" s="360"/>
      <c r="G139" s="587"/>
      <c r="H139" s="573"/>
      <c r="I139" s="7"/>
      <c r="J139" s="7"/>
      <c r="K139" s="7"/>
      <c r="L139" s="7"/>
    </row>
    <row r="140" spans="1:12" hidden="1" outlineLevel="1">
      <c r="A140" s="5" t="s">
        <v>1582</v>
      </c>
      <c r="B140" s="14" t="s">
        <v>603</v>
      </c>
      <c r="C140" s="573">
        <v>105.38</v>
      </c>
      <c r="D140" s="1381">
        <f t="shared" si="3"/>
        <v>386.39333333333332</v>
      </c>
      <c r="E140" s="579"/>
      <c r="F140" s="360"/>
      <c r="G140" s="587"/>
      <c r="H140" s="573"/>
      <c r="I140" s="7"/>
      <c r="J140" s="7"/>
      <c r="K140" s="7"/>
      <c r="L140" s="7"/>
    </row>
    <row r="141" spans="1:12" hidden="1" outlineLevel="1">
      <c r="A141" s="5" t="s">
        <v>1583</v>
      </c>
      <c r="B141" s="14" t="s">
        <v>604</v>
      </c>
      <c r="C141" s="573">
        <v>117.2</v>
      </c>
      <c r="D141" s="1381">
        <f t="shared" si="3"/>
        <v>429.73333333333335</v>
      </c>
      <c r="E141" s="579"/>
      <c r="F141" s="360"/>
      <c r="G141" s="587"/>
      <c r="H141" s="573"/>
      <c r="I141" s="7"/>
      <c r="J141" s="7"/>
      <c r="K141" s="7"/>
      <c r="L141" s="7"/>
    </row>
    <row r="142" spans="1:12" hidden="1" outlineLevel="1">
      <c r="A142" s="5" t="s">
        <v>1584</v>
      </c>
      <c r="B142" s="14" t="s">
        <v>605</v>
      </c>
      <c r="C142" s="573">
        <v>130.69999999999999</v>
      </c>
      <c r="D142" s="1381">
        <f t="shared" si="3"/>
        <v>479.23333333333329</v>
      </c>
      <c r="E142" s="579"/>
      <c r="F142" s="360"/>
      <c r="G142" s="587"/>
      <c r="H142" s="573"/>
      <c r="I142" s="7"/>
      <c r="J142" s="7"/>
      <c r="K142" s="7"/>
      <c r="L142" s="7"/>
    </row>
    <row r="143" spans="1:12" hidden="1" outlineLevel="1">
      <c r="A143" s="5" t="s">
        <v>1597</v>
      </c>
      <c r="B143" s="14" t="s">
        <v>619</v>
      </c>
      <c r="C143" s="573">
        <v>14.5</v>
      </c>
      <c r="D143" s="1381">
        <f t="shared" si="3"/>
        <v>53.166666666666664</v>
      </c>
      <c r="E143" s="579"/>
      <c r="F143" s="360"/>
      <c r="G143" s="587"/>
      <c r="H143" s="573"/>
      <c r="I143" s="7"/>
      <c r="J143" s="7"/>
      <c r="K143" s="7"/>
      <c r="L143" s="7"/>
    </row>
    <row r="144" spans="1:12" hidden="1" outlineLevel="1">
      <c r="A144" s="5" t="s">
        <v>1585</v>
      </c>
      <c r="B144" s="14" t="s">
        <v>606</v>
      </c>
      <c r="C144" s="573">
        <v>18.489999999999998</v>
      </c>
      <c r="D144" s="1381">
        <f t="shared" si="3"/>
        <v>67.796666666666653</v>
      </c>
      <c r="E144" s="579"/>
      <c r="F144" s="360"/>
      <c r="G144" s="587"/>
      <c r="H144" s="573"/>
      <c r="I144" s="7"/>
      <c r="J144" s="7"/>
      <c r="K144" s="7"/>
      <c r="L144" s="7"/>
    </row>
    <row r="145" spans="1:12" hidden="1" outlineLevel="1">
      <c r="A145" s="5" t="s">
        <v>1586</v>
      </c>
      <c r="B145" s="14" t="s">
        <v>607</v>
      </c>
      <c r="C145" s="573">
        <v>18.489999999999998</v>
      </c>
      <c r="D145" s="1381">
        <f t="shared" si="3"/>
        <v>67.796666666666653</v>
      </c>
      <c r="E145" s="579"/>
      <c r="F145" s="360"/>
      <c r="G145" s="587"/>
      <c r="H145" s="573"/>
      <c r="I145" s="7"/>
      <c r="J145" s="7"/>
      <c r="K145" s="7"/>
      <c r="L145" s="7"/>
    </row>
    <row r="146" spans="1:12" hidden="1" outlineLevel="1">
      <c r="A146" s="5" t="s">
        <v>1587</v>
      </c>
      <c r="B146" s="14" t="s">
        <v>608</v>
      </c>
      <c r="C146" s="573">
        <v>39.92</v>
      </c>
      <c r="D146" s="1381">
        <f t="shared" si="3"/>
        <v>146.37333333333333</v>
      </c>
      <c r="E146" s="579"/>
      <c r="F146" s="360"/>
      <c r="G146" s="587"/>
      <c r="H146" s="573"/>
      <c r="I146" s="7"/>
      <c r="J146" s="7"/>
      <c r="K146" s="7"/>
      <c r="L146" s="7"/>
    </row>
    <row r="147" spans="1:12" hidden="1" outlineLevel="1">
      <c r="A147" s="5" t="s">
        <v>1588</v>
      </c>
      <c r="B147" s="14" t="s">
        <v>609</v>
      </c>
      <c r="C147" s="573">
        <v>52.42</v>
      </c>
      <c r="D147" s="1381">
        <f t="shared" si="3"/>
        <v>192.20666666666668</v>
      </c>
      <c r="E147" s="579"/>
      <c r="F147" s="360"/>
      <c r="G147" s="587"/>
      <c r="H147" s="573"/>
      <c r="I147" s="7"/>
      <c r="J147" s="7"/>
      <c r="K147" s="7"/>
      <c r="L147" s="7"/>
    </row>
    <row r="148" spans="1:12" hidden="1" outlineLevel="1">
      <c r="A148" s="5" t="s">
        <v>1589</v>
      </c>
      <c r="B148" s="14" t="s">
        <v>610</v>
      </c>
      <c r="C148" s="573">
        <v>18.489999999999998</v>
      </c>
      <c r="D148" s="1381">
        <f t="shared" si="3"/>
        <v>67.796666666666653</v>
      </c>
      <c r="E148" s="579"/>
      <c r="F148" s="360"/>
      <c r="G148" s="587"/>
      <c r="H148" s="573"/>
      <c r="I148" s="7"/>
      <c r="J148" s="7"/>
      <c r="K148" s="7"/>
      <c r="L148" s="7"/>
    </row>
    <row r="149" spans="1:12" hidden="1" outlineLevel="1">
      <c r="A149" s="5" t="s">
        <v>1590</v>
      </c>
      <c r="B149" s="14" t="s">
        <v>611</v>
      </c>
      <c r="C149" s="573">
        <v>17.61</v>
      </c>
      <c r="D149" s="1381">
        <f t="shared" si="3"/>
        <v>64.569999999999993</v>
      </c>
      <c r="E149" s="579"/>
      <c r="F149" s="360"/>
      <c r="G149" s="587"/>
      <c r="H149" s="573"/>
      <c r="I149" s="7"/>
      <c r="J149" s="7"/>
      <c r="K149" s="7"/>
      <c r="L149" s="7"/>
    </row>
    <row r="150" spans="1:12" hidden="1" outlineLevel="1">
      <c r="A150" s="5" t="s">
        <v>1591</v>
      </c>
      <c r="B150" s="14" t="s">
        <v>612</v>
      </c>
      <c r="C150" s="573">
        <v>15.23</v>
      </c>
      <c r="D150" s="1381">
        <f t="shared" si="3"/>
        <v>55.843333333333334</v>
      </c>
      <c r="E150" s="579"/>
      <c r="F150" s="360"/>
      <c r="G150" s="587"/>
      <c r="H150" s="573"/>
      <c r="I150" s="7"/>
      <c r="J150" s="7"/>
      <c r="K150" s="7"/>
      <c r="L150" s="7"/>
    </row>
    <row r="151" spans="1:12" hidden="1" outlineLevel="1">
      <c r="A151" s="5" t="s">
        <v>1625</v>
      </c>
      <c r="B151" s="14" t="s">
        <v>613</v>
      </c>
      <c r="C151" s="573">
        <v>30.54</v>
      </c>
      <c r="D151" s="1381">
        <f t="shared" si="3"/>
        <v>111.97999999999999</v>
      </c>
      <c r="E151" s="579"/>
      <c r="F151" s="360"/>
      <c r="G151" s="587"/>
      <c r="H151" s="573"/>
      <c r="I151" s="7"/>
      <c r="J151" s="7"/>
      <c r="K151" s="7"/>
      <c r="L151" s="7"/>
    </row>
    <row r="152" spans="1:12" hidden="1" outlineLevel="1">
      <c r="A152" s="5" t="s">
        <v>1593</v>
      </c>
      <c r="B152" s="14" t="s">
        <v>614</v>
      </c>
      <c r="C152" s="573">
        <v>12.6</v>
      </c>
      <c r="D152" s="1381">
        <f t="shared" si="3"/>
        <v>46.199999999999996</v>
      </c>
      <c r="E152" s="579"/>
      <c r="F152" s="360"/>
      <c r="G152" s="587"/>
      <c r="H152" s="573"/>
      <c r="I152" s="7"/>
      <c r="J152" s="7"/>
      <c r="K152" s="7"/>
      <c r="L152" s="7"/>
    </row>
    <row r="153" spans="1:12" hidden="1" outlineLevel="1">
      <c r="B153" s="1444"/>
      <c r="C153" s="1381"/>
      <c r="D153" s="1381"/>
      <c r="E153" s="579"/>
      <c r="F153" s="360"/>
      <c r="G153" s="587"/>
      <c r="H153" s="7"/>
      <c r="I153" s="7"/>
      <c r="J153" s="7"/>
      <c r="K153" s="7"/>
      <c r="L153" s="7"/>
    </row>
    <row r="154" spans="1:12" ht="18" customHeight="1" collapsed="1" thickBot="1">
      <c r="B154" s="1476" t="s">
        <v>630</v>
      </c>
      <c r="C154" s="1476" t="str">
        <f>$C$14</f>
        <v>tC/ha</v>
      </c>
      <c r="D154" s="1477" t="s">
        <v>1640</v>
      </c>
      <c r="E154" s="1475"/>
      <c r="F154" s="1885"/>
      <c r="G154" s="1885"/>
      <c r="H154" s="1382"/>
      <c r="I154" s="1382"/>
      <c r="J154" s="1382"/>
      <c r="K154" s="1382"/>
      <c r="L154" s="1382"/>
    </row>
    <row r="155" spans="1:12" ht="15" hidden="1" customHeight="1" outlineLevel="1">
      <c r="B155" s="14" t="s">
        <v>12</v>
      </c>
      <c r="D155" s="579"/>
      <c r="E155" s="579"/>
      <c r="F155" s="360"/>
      <c r="G155" s="587"/>
      <c r="H155" s="573"/>
      <c r="I155" s="1382"/>
      <c r="J155" s="1382"/>
      <c r="K155" s="1382"/>
      <c r="L155" s="1382"/>
    </row>
    <row r="156" spans="1:12" ht="15" hidden="1" customHeight="1" outlineLevel="1">
      <c r="A156" s="5" t="s">
        <v>1620</v>
      </c>
      <c r="B156" s="14" t="s">
        <v>625</v>
      </c>
      <c r="C156" s="573">
        <v>121.76</v>
      </c>
      <c r="D156" s="1381">
        <f t="shared" ref="D156:D174" si="4">(C156*$N$197)</f>
        <v>446.45333333333332</v>
      </c>
      <c r="E156" s="579"/>
      <c r="F156" s="360"/>
      <c r="G156" s="587"/>
      <c r="H156" s="573"/>
      <c r="I156" s="1382"/>
      <c r="J156" s="1382"/>
      <c r="K156" s="1382"/>
      <c r="L156" s="1382"/>
    </row>
    <row r="157" spans="1:12" ht="15" hidden="1" customHeight="1" outlineLevel="1">
      <c r="A157" s="5" t="s">
        <v>1596</v>
      </c>
      <c r="B157" s="14" t="s">
        <v>618</v>
      </c>
      <c r="C157" s="573">
        <v>106.41</v>
      </c>
      <c r="D157" s="1381">
        <f t="shared" si="4"/>
        <v>390.16999999999996</v>
      </c>
      <c r="E157" s="579"/>
      <c r="F157" s="360"/>
      <c r="G157" s="587"/>
      <c r="H157" s="573"/>
      <c r="I157" s="1382"/>
      <c r="J157" s="1382"/>
      <c r="K157" s="1382"/>
      <c r="L157" s="1382"/>
    </row>
    <row r="158" spans="1:12" ht="15" hidden="1" customHeight="1" outlineLevel="1">
      <c r="A158" s="5" t="s">
        <v>1568</v>
      </c>
      <c r="B158" s="14" t="s">
        <v>590</v>
      </c>
      <c r="C158" s="573">
        <v>106.41</v>
      </c>
      <c r="D158" s="1381">
        <f t="shared" si="4"/>
        <v>390.16999999999996</v>
      </c>
      <c r="E158" s="579"/>
      <c r="F158" s="360"/>
      <c r="G158" s="587"/>
      <c r="H158" s="573"/>
      <c r="I158" s="1382"/>
      <c r="J158" s="1382"/>
      <c r="K158" s="1382"/>
      <c r="L158" s="1382"/>
    </row>
    <row r="159" spans="1:12" ht="15" hidden="1" customHeight="1" outlineLevel="1">
      <c r="A159" s="5" t="s">
        <v>1571</v>
      </c>
      <c r="B159" s="14" t="s">
        <v>593</v>
      </c>
      <c r="C159" s="573">
        <v>177.75</v>
      </c>
      <c r="D159" s="1381">
        <f t="shared" si="4"/>
        <v>651.75</v>
      </c>
      <c r="E159" s="579"/>
      <c r="F159" s="360"/>
      <c r="G159" s="587"/>
      <c r="H159" s="573"/>
      <c r="I159" s="1382"/>
      <c r="J159" s="1382"/>
      <c r="K159" s="1382"/>
      <c r="L159" s="1382"/>
    </row>
    <row r="160" spans="1:12" ht="15" hidden="1" customHeight="1" outlineLevel="1">
      <c r="A160" s="5" t="s">
        <v>1572</v>
      </c>
      <c r="B160" s="134" t="s">
        <v>594</v>
      </c>
      <c r="C160" s="1442">
        <v>151.41999999999999</v>
      </c>
      <c r="D160" s="1381">
        <f t="shared" si="4"/>
        <v>555.20666666666659</v>
      </c>
      <c r="E160" s="579"/>
      <c r="F160" s="360"/>
      <c r="G160" s="587"/>
      <c r="H160" s="1442"/>
      <c r="I160" s="1382"/>
      <c r="J160" s="1382"/>
      <c r="K160" s="1382"/>
      <c r="L160" s="1382"/>
    </row>
    <row r="161" spans="1:12" ht="15" hidden="1" customHeight="1" outlineLevel="1">
      <c r="A161" s="5" t="s">
        <v>1603</v>
      </c>
      <c r="B161" s="14" t="s">
        <v>621</v>
      </c>
      <c r="C161" s="573">
        <v>55.74</v>
      </c>
      <c r="D161" s="1381">
        <f t="shared" si="4"/>
        <v>204.38</v>
      </c>
      <c r="E161" s="579"/>
      <c r="F161" s="360"/>
      <c r="G161" s="587"/>
      <c r="H161" s="573"/>
      <c r="I161" s="1382"/>
      <c r="J161" s="1382"/>
      <c r="K161" s="1382"/>
      <c r="L161" s="1382"/>
    </row>
    <row r="162" spans="1:12" ht="15" hidden="1" customHeight="1" outlineLevel="1">
      <c r="A162" s="5" t="s">
        <v>1622</v>
      </c>
      <c r="B162" s="14" t="s">
        <v>627</v>
      </c>
      <c r="C162" s="573">
        <v>2.12</v>
      </c>
      <c r="D162" s="1381">
        <f t="shared" si="4"/>
        <v>7.7733333333333334</v>
      </c>
      <c r="E162" s="579"/>
      <c r="F162" s="360"/>
      <c r="G162" s="587"/>
      <c r="H162" s="573"/>
      <c r="I162" s="1382"/>
      <c r="J162" s="1382"/>
      <c r="K162" s="1382"/>
      <c r="L162" s="1382"/>
    </row>
    <row r="163" spans="1:12" ht="15" hidden="1" customHeight="1" outlineLevel="1">
      <c r="A163" s="5" t="s">
        <v>1575</v>
      </c>
      <c r="B163" s="14" t="s">
        <v>596</v>
      </c>
      <c r="C163" s="573">
        <v>86.08</v>
      </c>
      <c r="D163" s="1381">
        <f t="shared" si="4"/>
        <v>315.62666666666667</v>
      </c>
      <c r="E163" s="579"/>
      <c r="F163" s="360"/>
      <c r="G163" s="587"/>
      <c r="H163" s="573"/>
      <c r="I163" s="1382"/>
      <c r="J163" s="1382"/>
      <c r="K163" s="1382"/>
      <c r="L163" s="1382"/>
    </row>
    <row r="164" spans="1:12" ht="15" hidden="1" customHeight="1" outlineLevel="1">
      <c r="A164" s="5" t="s">
        <v>1576</v>
      </c>
      <c r="B164" s="14" t="s">
        <v>597</v>
      </c>
      <c r="C164" s="573">
        <v>106.88</v>
      </c>
      <c r="D164" s="1381">
        <f t="shared" si="4"/>
        <v>391.89333333333332</v>
      </c>
      <c r="E164" s="579"/>
      <c r="F164" s="360"/>
      <c r="G164" s="587"/>
      <c r="H164" s="573"/>
      <c r="I164" s="1382"/>
      <c r="J164" s="1382"/>
      <c r="K164" s="1382"/>
      <c r="L164" s="1382"/>
    </row>
    <row r="165" spans="1:12" ht="15" hidden="1" customHeight="1" outlineLevel="1">
      <c r="A165" s="5" t="s">
        <v>1577</v>
      </c>
      <c r="B165" s="14" t="s">
        <v>598</v>
      </c>
      <c r="C165" s="573">
        <v>123.05</v>
      </c>
      <c r="D165" s="1381">
        <f t="shared" si="4"/>
        <v>451.18333333333328</v>
      </c>
      <c r="E165" s="579"/>
      <c r="F165" s="360"/>
      <c r="G165" s="587"/>
      <c r="H165" s="573"/>
      <c r="I165" s="1382"/>
      <c r="J165" s="1382"/>
      <c r="K165" s="1382"/>
      <c r="L165" s="1382"/>
    </row>
    <row r="166" spans="1:12" ht="15" hidden="1" customHeight="1" outlineLevel="1">
      <c r="A166" s="5" t="s">
        <v>1614</v>
      </c>
      <c r="B166" s="14" t="s">
        <v>623</v>
      </c>
      <c r="C166" s="573">
        <v>142.66</v>
      </c>
      <c r="D166" s="1381">
        <f t="shared" si="4"/>
        <v>523.08666666666659</v>
      </c>
      <c r="E166" s="579"/>
      <c r="F166" s="360"/>
      <c r="G166" s="587"/>
      <c r="H166" s="573"/>
      <c r="I166" s="1382"/>
      <c r="J166" s="1382"/>
      <c r="K166" s="1382"/>
      <c r="L166" s="1382"/>
    </row>
    <row r="167" spans="1:12" ht="15" hidden="1" customHeight="1" outlineLevel="1">
      <c r="A167" s="5" t="s">
        <v>1582</v>
      </c>
      <c r="B167" s="14" t="s">
        <v>603</v>
      </c>
      <c r="C167" s="573">
        <v>12.57</v>
      </c>
      <c r="D167" s="1381">
        <f t="shared" si="4"/>
        <v>46.089999999999996</v>
      </c>
      <c r="E167" s="579"/>
      <c r="F167" s="360"/>
      <c r="G167" s="587"/>
      <c r="H167" s="573"/>
      <c r="I167" s="1382"/>
      <c r="J167" s="1382"/>
      <c r="K167" s="1382"/>
      <c r="L167" s="1382"/>
    </row>
    <row r="168" spans="1:12" ht="15" hidden="1" customHeight="1" outlineLevel="1">
      <c r="A168" s="5" t="s">
        <v>1583</v>
      </c>
      <c r="B168" s="14" t="s">
        <v>604</v>
      </c>
      <c r="C168" s="573">
        <v>12.57</v>
      </c>
      <c r="D168" s="1381">
        <f t="shared" si="4"/>
        <v>46.089999999999996</v>
      </c>
      <c r="E168" s="579"/>
      <c r="F168" s="360"/>
      <c r="G168" s="587"/>
      <c r="H168" s="573"/>
      <c r="I168" s="1382"/>
      <c r="J168" s="1382"/>
      <c r="K168" s="1382"/>
      <c r="L168" s="1382"/>
    </row>
    <row r="169" spans="1:12" ht="15" hidden="1" customHeight="1" outlineLevel="1">
      <c r="A169" s="5" t="s">
        <v>1584</v>
      </c>
      <c r="B169" s="14" t="s">
        <v>605</v>
      </c>
      <c r="C169" s="573">
        <v>12.57</v>
      </c>
      <c r="D169" s="1381">
        <f t="shared" si="4"/>
        <v>46.089999999999996</v>
      </c>
      <c r="E169" s="579"/>
      <c r="F169" s="360"/>
      <c r="G169" s="587"/>
      <c r="H169" s="573"/>
      <c r="I169" s="1382"/>
      <c r="J169" s="1382"/>
      <c r="K169" s="1382"/>
      <c r="L169" s="1382"/>
    </row>
    <row r="170" spans="1:12" ht="15" hidden="1" customHeight="1" outlineLevel="1">
      <c r="A170" s="5" t="s">
        <v>1587</v>
      </c>
      <c r="B170" s="14" t="s">
        <v>608</v>
      </c>
      <c r="C170" s="1438">
        <v>47.1</v>
      </c>
      <c r="D170" s="1381">
        <f t="shared" si="4"/>
        <v>172.7</v>
      </c>
      <c r="E170" s="579"/>
      <c r="F170" s="360"/>
      <c r="G170" s="587"/>
      <c r="H170" s="1438"/>
      <c r="I170" s="1382"/>
      <c r="J170" s="1382"/>
      <c r="K170" s="1382"/>
      <c r="L170" s="1382"/>
    </row>
    <row r="171" spans="1:12" ht="15" hidden="1" customHeight="1" outlineLevel="1">
      <c r="A171" s="5" t="s">
        <v>1588</v>
      </c>
      <c r="B171" s="14" t="s">
        <v>609</v>
      </c>
      <c r="C171" s="573">
        <v>49.96</v>
      </c>
      <c r="D171" s="1381">
        <f t="shared" si="4"/>
        <v>183.18666666666667</v>
      </c>
      <c r="E171" s="579"/>
      <c r="F171" s="360"/>
      <c r="G171" s="587"/>
      <c r="H171" s="573"/>
      <c r="I171" s="1382"/>
      <c r="J171" s="1382"/>
      <c r="K171" s="1382"/>
      <c r="L171" s="1382"/>
    </row>
    <row r="172" spans="1:12" ht="15" hidden="1" customHeight="1" outlineLevel="1">
      <c r="A172" s="5" t="s">
        <v>1589</v>
      </c>
      <c r="B172" s="14" t="s">
        <v>610</v>
      </c>
      <c r="C172" s="1051">
        <v>12.6</v>
      </c>
      <c r="D172" s="1381">
        <f t="shared" si="4"/>
        <v>46.199999999999996</v>
      </c>
      <c r="E172" s="579"/>
      <c r="F172" s="360"/>
      <c r="G172" s="587"/>
      <c r="H172" s="1051"/>
      <c r="I172" s="1382"/>
      <c r="J172" s="1382"/>
      <c r="K172" s="1382"/>
      <c r="L172" s="1382"/>
    </row>
    <row r="173" spans="1:12" ht="15" hidden="1" customHeight="1" outlineLevel="1">
      <c r="A173" s="5" t="s">
        <v>1591</v>
      </c>
      <c r="B173" s="14" t="s">
        <v>612</v>
      </c>
      <c r="C173" s="573">
        <v>55.74</v>
      </c>
      <c r="D173" s="1381">
        <f t="shared" si="4"/>
        <v>204.38</v>
      </c>
      <c r="E173" s="579"/>
      <c r="F173" s="360"/>
      <c r="G173" s="587"/>
      <c r="H173" s="573"/>
      <c r="I173" s="1382"/>
      <c r="J173" s="1382"/>
      <c r="K173" s="1382"/>
      <c r="L173" s="1382"/>
    </row>
    <row r="174" spans="1:12" ht="15" hidden="1" customHeight="1" outlineLevel="1">
      <c r="A174" s="5" t="s">
        <v>1593</v>
      </c>
      <c r="B174" s="14" t="s">
        <v>614</v>
      </c>
      <c r="C174" s="573">
        <v>12.6</v>
      </c>
      <c r="D174" s="1381">
        <f t="shared" si="4"/>
        <v>46.199999999999996</v>
      </c>
      <c r="E174" s="579"/>
      <c r="F174" s="360"/>
      <c r="G174" s="587"/>
      <c r="H174" s="573"/>
      <c r="I174" s="1382"/>
      <c r="J174" s="1382"/>
      <c r="K174" s="1382"/>
      <c r="L174" s="1382"/>
    </row>
    <row r="175" spans="1:12" ht="15" hidden="1" customHeight="1" outlineLevel="1">
      <c r="B175" s="1378"/>
      <c r="C175" s="579"/>
      <c r="D175" s="1377"/>
      <c r="E175" s="579"/>
      <c r="F175" s="360"/>
      <c r="G175" s="587"/>
      <c r="H175" s="573"/>
      <c r="I175" s="1382"/>
      <c r="J175" s="1382"/>
      <c r="K175" s="1382"/>
      <c r="L175" s="1382"/>
    </row>
    <row r="176" spans="1:12" ht="15.75" customHeight="1" collapsed="1" thickBot="1">
      <c r="B176" s="1476" t="s">
        <v>631</v>
      </c>
      <c r="C176" s="1476" t="str">
        <f>$C$14</f>
        <v>tC/ha</v>
      </c>
      <c r="D176" s="1477" t="s">
        <v>1640</v>
      </c>
      <c r="E176" s="1475"/>
      <c r="F176" s="1885"/>
      <c r="G176" s="1885"/>
      <c r="H176" s="1382"/>
      <c r="I176" s="1382"/>
      <c r="J176" s="1382"/>
      <c r="K176" s="1382"/>
      <c r="L176" s="1382"/>
    </row>
    <row r="177" spans="1:12" ht="15" hidden="1" customHeight="1" outlineLevel="1">
      <c r="B177" s="14" t="s">
        <v>12</v>
      </c>
      <c r="D177" s="579"/>
      <c r="E177" s="579"/>
      <c r="F177" s="1468"/>
      <c r="G177" s="1467"/>
      <c r="H177" s="573"/>
      <c r="I177" s="1382"/>
      <c r="J177" s="1382"/>
      <c r="K177" s="1382"/>
      <c r="L177" s="1382"/>
    </row>
    <row r="178" spans="1:12" ht="15" hidden="1" customHeight="1" outlineLevel="1">
      <c r="A178" s="5" t="s">
        <v>1620</v>
      </c>
      <c r="B178" s="14" t="s">
        <v>625</v>
      </c>
      <c r="C178" s="1445">
        <v>121.76</v>
      </c>
      <c r="D178" s="1381">
        <f t="shared" ref="D178:D192" si="5">(C178*$N$197)</f>
        <v>446.45333333333332</v>
      </c>
      <c r="E178" s="579"/>
      <c r="F178" s="1468"/>
      <c r="G178" s="1467"/>
      <c r="H178" s="1445"/>
      <c r="I178" s="1382"/>
      <c r="J178" s="1382"/>
      <c r="K178" s="1382"/>
      <c r="L178" s="1382"/>
    </row>
    <row r="179" spans="1:12" ht="15" hidden="1" customHeight="1" outlineLevel="1">
      <c r="A179" s="5" t="s">
        <v>1567</v>
      </c>
      <c r="B179" s="14" t="s">
        <v>589</v>
      </c>
      <c r="C179" s="573">
        <v>105.11</v>
      </c>
      <c r="D179" s="1381">
        <f t="shared" si="5"/>
        <v>385.40333333333331</v>
      </c>
      <c r="E179" s="579"/>
      <c r="F179" s="1468"/>
      <c r="G179" s="1467"/>
      <c r="H179" s="573"/>
      <c r="I179" s="1382"/>
      <c r="J179" s="1382"/>
      <c r="K179" s="1382"/>
      <c r="L179" s="1382"/>
    </row>
    <row r="180" spans="1:12" ht="15" hidden="1" customHeight="1" outlineLevel="1">
      <c r="A180" s="5" t="s">
        <v>1568</v>
      </c>
      <c r="B180" s="14" t="s">
        <v>590</v>
      </c>
      <c r="C180" s="573">
        <v>127.83</v>
      </c>
      <c r="D180" s="1381">
        <f t="shared" si="5"/>
        <v>468.71</v>
      </c>
      <c r="E180" s="579"/>
      <c r="F180" s="1468"/>
      <c r="G180" s="1467"/>
      <c r="H180" s="573"/>
      <c r="I180" s="1382"/>
      <c r="J180" s="1382"/>
      <c r="K180" s="1382"/>
      <c r="L180" s="1382"/>
    </row>
    <row r="181" spans="1:12" ht="15" hidden="1" customHeight="1" outlineLevel="1">
      <c r="A181" s="5" t="s">
        <v>1573</v>
      </c>
      <c r="B181" s="14" t="s">
        <v>595</v>
      </c>
      <c r="C181" s="573">
        <v>167.52</v>
      </c>
      <c r="D181" s="1381">
        <f t="shared" si="5"/>
        <v>614.24</v>
      </c>
      <c r="E181" s="579"/>
      <c r="F181" s="1468"/>
      <c r="G181" s="1467"/>
      <c r="H181" s="573"/>
      <c r="I181" s="1382"/>
      <c r="J181" s="1382"/>
      <c r="K181" s="1382"/>
      <c r="L181" s="1382"/>
    </row>
    <row r="182" spans="1:12" ht="15" hidden="1" customHeight="1" outlineLevel="1">
      <c r="A182" s="5" t="s">
        <v>1575</v>
      </c>
      <c r="B182" s="14" t="s">
        <v>596</v>
      </c>
      <c r="C182" s="1445">
        <v>145.37</v>
      </c>
      <c r="D182" s="1381">
        <f t="shared" si="5"/>
        <v>533.02333333333331</v>
      </c>
      <c r="E182" s="579"/>
      <c r="F182" s="1468"/>
      <c r="G182" s="1467"/>
      <c r="H182" s="1445"/>
      <c r="I182" s="1382"/>
      <c r="J182" s="1382"/>
      <c r="K182" s="1382"/>
      <c r="L182" s="1382"/>
    </row>
    <row r="183" spans="1:12" ht="15" hidden="1" customHeight="1" outlineLevel="1">
      <c r="A183" s="5" t="s">
        <v>1577</v>
      </c>
      <c r="B183" s="14" t="s">
        <v>598</v>
      </c>
      <c r="C183" s="1445">
        <v>123.05</v>
      </c>
      <c r="D183" s="1381">
        <f t="shared" si="5"/>
        <v>451.18333333333328</v>
      </c>
      <c r="E183" s="579"/>
      <c r="F183" s="1468"/>
      <c r="G183" s="1467"/>
      <c r="H183" s="1445"/>
      <c r="I183" s="1382"/>
      <c r="J183" s="1382"/>
      <c r="K183" s="1382"/>
      <c r="L183" s="1382"/>
    </row>
    <row r="184" spans="1:12" ht="15" hidden="1" customHeight="1" outlineLevel="1">
      <c r="A184" s="5" t="s">
        <v>1582</v>
      </c>
      <c r="B184" s="14" t="s">
        <v>603</v>
      </c>
      <c r="C184" s="573">
        <v>81.599999999999994</v>
      </c>
      <c r="D184" s="1381">
        <f t="shared" si="5"/>
        <v>299.2</v>
      </c>
      <c r="E184" s="579"/>
      <c r="F184" s="1468"/>
      <c r="G184" s="1467"/>
      <c r="H184" s="573"/>
      <c r="I184" s="1382"/>
      <c r="J184" s="1382"/>
      <c r="K184" s="1382"/>
      <c r="L184" s="1382"/>
    </row>
    <row r="185" spans="1:12" ht="15" hidden="1" customHeight="1" outlineLevel="1">
      <c r="A185" s="5" t="s">
        <v>1587</v>
      </c>
      <c r="B185" s="14" t="s">
        <v>608</v>
      </c>
      <c r="C185" s="573">
        <v>55.92</v>
      </c>
      <c r="D185" s="1381">
        <f t="shared" si="5"/>
        <v>205.04</v>
      </c>
      <c r="E185" s="579"/>
      <c r="F185" s="1468"/>
      <c r="G185" s="1467"/>
      <c r="H185" s="573"/>
      <c r="I185" s="1382"/>
      <c r="J185" s="1382"/>
      <c r="K185" s="1382"/>
      <c r="L185" s="1382"/>
    </row>
    <row r="186" spans="1:12" ht="15" hidden="1" customHeight="1" outlineLevel="1">
      <c r="A186" s="5" t="s">
        <v>1588</v>
      </c>
      <c r="B186" s="14" t="s">
        <v>609</v>
      </c>
      <c r="C186" s="573">
        <v>103.45</v>
      </c>
      <c r="D186" s="1381">
        <f t="shared" si="5"/>
        <v>379.31666666666666</v>
      </c>
      <c r="E186" s="579"/>
      <c r="F186" s="1468"/>
      <c r="G186" s="1467"/>
      <c r="H186" s="573"/>
      <c r="I186" s="1382"/>
      <c r="J186" s="1382"/>
      <c r="K186" s="1382"/>
      <c r="L186" s="1382"/>
    </row>
    <row r="187" spans="1:12" ht="15" hidden="1" customHeight="1" outlineLevel="1">
      <c r="A187" s="5" t="s">
        <v>1589</v>
      </c>
      <c r="B187" s="14" t="s">
        <v>610</v>
      </c>
      <c r="C187" s="1445">
        <v>18.489999999999998</v>
      </c>
      <c r="D187" s="1381">
        <f t="shared" si="5"/>
        <v>67.796666666666653</v>
      </c>
      <c r="E187" s="579"/>
      <c r="F187" s="1468"/>
      <c r="G187" s="1467"/>
      <c r="H187" s="1445"/>
      <c r="I187" s="1382"/>
      <c r="J187" s="1382"/>
      <c r="K187" s="1382"/>
      <c r="L187" s="1382"/>
    </row>
    <row r="188" spans="1:12" ht="15" hidden="1" customHeight="1" outlineLevel="1">
      <c r="A188" s="5" t="s">
        <v>1590</v>
      </c>
      <c r="B188" s="14" t="s">
        <v>611</v>
      </c>
      <c r="C188" s="1445">
        <v>31.68</v>
      </c>
      <c r="D188" s="1381">
        <f t="shared" si="5"/>
        <v>116.16</v>
      </c>
      <c r="E188" s="579"/>
      <c r="F188" s="1468"/>
      <c r="G188" s="1467"/>
      <c r="H188" s="1445"/>
      <c r="I188" s="1382"/>
      <c r="J188" s="1382"/>
      <c r="K188" s="1382"/>
      <c r="L188" s="1382"/>
    </row>
    <row r="189" spans="1:12" ht="15" hidden="1" customHeight="1" outlineLevel="1">
      <c r="A189" s="5" t="s">
        <v>1591</v>
      </c>
      <c r="B189" s="14" t="s">
        <v>612</v>
      </c>
      <c r="C189" s="1445">
        <v>11.96</v>
      </c>
      <c r="D189" s="1381">
        <f t="shared" si="5"/>
        <v>43.853333333333332</v>
      </c>
      <c r="E189" s="579"/>
      <c r="F189" s="1468"/>
      <c r="G189" s="1467"/>
      <c r="H189" s="1445"/>
      <c r="I189" s="1382"/>
      <c r="J189" s="1382"/>
      <c r="K189" s="1382"/>
      <c r="L189" s="1382"/>
    </row>
    <row r="190" spans="1:12" ht="15" hidden="1" customHeight="1" outlineLevel="1">
      <c r="A190" s="5" t="s">
        <v>1592</v>
      </c>
      <c r="B190" s="14" t="s">
        <v>613</v>
      </c>
      <c r="C190" s="573">
        <v>99.32</v>
      </c>
      <c r="D190" s="1381">
        <f t="shared" si="5"/>
        <v>364.17333333333329</v>
      </c>
      <c r="E190" s="579"/>
      <c r="F190" s="1468"/>
      <c r="G190" s="1467"/>
      <c r="H190" s="573"/>
      <c r="I190" s="1382"/>
      <c r="J190" s="1382"/>
      <c r="K190" s="1382"/>
      <c r="L190" s="1382"/>
    </row>
    <row r="191" spans="1:12" ht="15" hidden="1" customHeight="1" outlineLevel="1">
      <c r="A191" s="5" t="s">
        <v>1593</v>
      </c>
      <c r="B191" s="14" t="s">
        <v>614</v>
      </c>
      <c r="C191" s="1445">
        <v>5.27</v>
      </c>
      <c r="D191" s="1381">
        <f t="shared" si="5"/>
        <v>19.323333333333331</v>
      </c>
      <c r="E191" s="579"/>
      <c r="F191" s="1468"/>
      <c r="G191" s="1467"/>
      <c r="H191" s="1445"/>
      <c r="I191" s="1382"/>
      <c r="J191" s="1382"/>
      <c r="K191" s="1382"/>
      <c r="L191" s="1382"/>
    </row>
    <row r="192" spans="1:12" ht="15" hidden="1" customHeight="1" outlineLevel="1">
      <c r="A192" s="5" t="s">
        <v>1594</v>
      </c>
      <c r="B192" s="14" t="s">
        <v>615</v>
      </c>
      <c r="C192" s="1445">
        <v>11.45</v>
      </c>
      <c r="D192" s="1381">
        <f t="shared" si="5"/>
        <v>41.983333333333327</v>
      </c>
      <c r="E192" s="579"/>
      <c r="F192" s="1468"/>
      <c r="G192" s="1467"/>
      <c r="H192" s="1445"/>
      <c r="I192" s="1382"/>
      <c r="J192" s="1382"/>
      <c r="K192" s="1382"/>
      <c r="L192" s="1382"/>
    </row>
    <row r="193" spans="2:43" ht="15" hidden="1" customHeight="1" outlineLevel="1">
      <c r="B193" s="1375"/>
      <c r="C193" s="1381"/>
      <c r="D193" s="1381"/>
      <c r="E193" s="579"/>
      <c r="F193" s="1382"/>
      <c r="G193" s="1382"/>
      <c r="H193" s="1382"/>
      <c r="I193" s="1382"/>
      <c r="J193" s="1382"/>
      <c r="K193" s="1382"/>
      <c r="L193" s="1382"/>
    </row>
    <row r="194" spans="2:43" ht="30.75" customHeight="1" collapsed="1">
      <c r="B194" s="1685" t="s">
        <v>1646</v>
      </c>
      <c r="C194" s="1685"/>
      <c r="D194" s="1685"/>
      <c r="E194" s="1685"/>
      <c r="F194" s="1685"/>
      <c r="G194" s="1685"/>
      <c r="H194" s="1685"/>
      <c r="I194" s="1685"/>
      <c r="J194" s="1382"/>
      <c r="K194" s="1382"/>
      <c r="L194" s="1382"/>
    </row>
    <row r="196" spans="2:43" ht="15.6">
      <c r="B196" s="1425" t="s">
        <v>1537</v>
      </c>
      <c r="C196" s="1426"/>
      <c r="D196" s="1426"/>
      <c r="E196" s="71"/>
      <c r="F196" s="600" t="s">
        <v>1632</v>
      </c>
      <c r="G196" s="1383"/>
      <c r="H196" s="7"/>
      <c r="I196" s="7"/>
      <c r="J196" s="7"/>
      <c r="K196" s="7"/>
      <c r="L196" s="7"/>
      <c r="M196" s="1427"/>
      <c r="N196" s="600" t="s">
        <v>1541</v>
      </c>
    </row>
    <row r="197" spans="2:43" ht="18.75" customHeight="1" thickBot="1">
      <c r="B197" s="1485" t="s">
        <v>643</v>
      </c>
      <c r="C197" s="1485" t="str">
        <f>$C$14</f>
        <v>tC/ha</v>
      </c>
      <c r="D197" s="1486" t="s">
        <v>1538</v>
      </c>
      <c r="E197" s="1504"/>
      <c r="F197" s="1892">
        <v>0.44</v>
      </c>
      <c r="G197" s="1886" t="s">
        <v>1648</v>
      </c>
      <c r="H197" s="1886"/>
      <c r="I197" s="1886"/>
      <c r="J197" s="1886"/>
      <c r="K197" s="1887"/>
      <c r="L197" s="716"/>
      <c r="M197" s="716"/>
      <c r="N197" s="225">
        <f>44/12</f>
        <v>3.6666666666666665</v>
      </c>
    </row>
    <row r="198" spans="2:43">
      <c r="B198" s="1478" t="s">
        <v>12</v>
      </c>
      <c r="C198" s="1479"/>
      <c r="D198" s="1484"/>
      <c r="E198" s="1505"/>
      <c r="F198" s="1893"/>
      <c r="G198" s="1888"/>
      <c r="H198" s="1888"/>
      <c r="I198" s="1888"/>
      <c r="J198" s="1888"/>
      <c r="K198" s="1889"/>
    </row>
    <row r="199" spans="2:43">
      <c r="B199" s="1517" t="s">
        <v>1652</v>
      </c>
      <c r="C199" s="1479">
        <v>6.35</v>
      </c>
      <c r="D199" s="1480">
        <f t="shared" ref="D199:D205" si="6">C199*$N$197</f>
        <v>23.283333333333331</v>
      </c>
      <c r="E199" s="1505"/>
      <c r="F199" s="1893"/>
      <c r="G199" s="1888"/>
      <c r="H199" s="1888"/>
      <c r="I199" s="1888"/>
      <c r="J199" s="1888"/>
      <c r="K199" s="1889"/>
    </row>
    <row r="200" spans="2:43">
      <c r="B200" s="1517" t="s">
        <v>1651</v>
      </c>
      <c r="C200" s="1479">
        <v>4.09</v>
      </c>
      <c r="D200" s="1480">
        <f t="shared" si="6"/>
        <v>14.996666666666666</v>
      </c>
      <c r="E200" s="1505"/>
      <c r="F200" s="1893"/>
      <c r="G200" s="1888"/>
      <c r="H200" s="1888"/>
      <c r="I200" s="1888"/>
      <c r="J200" s="1888"/>
      <c r="K200" s="1889"/>
    </row>
    <row r="201" spans="2:43">
      <c r="B201" s="1517" t="s">
        <v>1650</v>
      </c>
      <c r="C201" s="1479">
        <v>7.57</v>
      </c>
      <c r="D201" s="1480">
        <f t="shared" si="6"/>
        <v>27.756666666666668</v>
      </c>
      <c r="E201" s="1506"/>
      <c r="F201" s="1894"/>
      <c r="G201" s="1890"/>
      <c r="H201" s="1890"/>
      <c r="I201" s="1890"/>
      <c r="J201" s="1890"/>
      <c r="K201" s="1891"/>
    </row>
    <row r="202" spans="2:43" ht="15" customHeight="1">
      <c r="B202" s="1518" t="s">
        <v>632</v>
      </c>
      <c r="C202" s="1481">
        <v>5</v>
      </c>
      <c r="D202" s="1482">
        <f t="shared" si="6"/>
        <v>18.333333333333332</v>
      </c>
      <c r="E202" s="1515"/>
      <c r="F202" s="1871" t="s">
        <v>1649</v>
      </c>
      <c r="G202" s="1871"/>
      <c r="H202" s="1516"/>
      <c r="I202" s="1516"/>
      <c r="J202" s="1516"/>
      <c r="K202" s="1516"/>
      <c r="N202" s="7"/>
    </row>
    <row r="203" spans="2:43" ht="15" customHeight="1">
      <c r="B203" s="1517" t="s">
        <v>1645</v>
      </c>
      <c r="C203" s="1501">
        <v>9</v>
      </c>
      <c r="D203" s="1482">
        <f t="shared" si="6"/>
        <v>33</v>
      </c>
      <c r="E203" s="1502"/>
      <c r="F203" s="1508"/>
      <c r="G203" s="1508"/>
      <c r="H203" s="1508"/>
      <c r="I203" s="1508"/>
      <c r="J203" s="1508"/>
      <c r="K203" s="1508"/>
    </row>
    <row r="204" spans="2:43">
      <c r="B204" s="1519" t="s">
        <v>1644</v>
      </c>
      <c r="C204" s="1379">
        <v>21</v>
      </c>
      <c r="D204" s="1380">
        <f t="shared" si="6"/>
        <v>77</v>
      </c>
      <c r="E204" s="1515"/>
      <c r="F204" s="1508"/>
      <c r="G204" s="1508"/>
      <c r="H204" s="1508"/>
      <c r="I204" s="1508"/>
      <c r="J204" s="1508"/>
      <c r="K204" s="1508"/>
    </row>
    <row r="205" spans="2:43">
      <c r="B205" s="1518" t="s">
        <v>1647</v>
      </c>
      <c r="C205" s="1481">
        <v>0</v>
      </c>
      <c r="D205" s="1482">
        <f t="shared" si="6"/>
        <v>0</v>
      </c>
      <c r="E205" s="1503"/>
      <c r="F205" s="1473"/>
      <c r="G205" s="1473"/>
      <c r="H205" s="1473"/>
    </row>
    <row r="206" spans="2:43">
      <c r="B206" s="1516" t="s">
        <v>1649</v>
      </c>
      <c r="C206" s="1516"/>
      <c r="D206" s="1516"/>
      <c r="E206" s="1508"/>
      <c r="F206" s="1508"/>
      <c r="G206" s="1508"/>
      <c r="H206" s="1508"/>
      <c r="I206" s="1508"/>
    </row>
    <row r="207" spans="2:43">
      <c r="G207" s="1066"/>
      <c r="H207" s="1066"/>
      <c r="I207" s="1066"/>
      <c r="J207" s="1066"/>
      <c r="K207" s="1066"/>
      <c r="L207" s="1066"/>
      <c r="M207" s="1066"/>
      <c r="N207" s="1066"/>
      <c r="O207" s="1066"/>
      <c r="P207" s="1066"/>
      <c r="Q207" s="1066"/>
      <c r="R207" s="1066"/>
      <c r="S207" s="1066"/>
      <c r="T207" s="1066"/>
      <c r="U207" s="1066"/>
      <c r="V207" s="1066"/>
      <c r="W207" s="1066"/>
      <c r="X207" s="1066"/>
      <c r="Y207" s="1066"/>
      <c r="Z207" s="1066"/>
      <c r="AA207" s="1066"/>
      <c r="AB207" s="1066"/>
      <c r="AC207" s="1066"/>
      <c r="AD207" s="1066"/>
      <c r="AE207" s="1066"/>
      <c r="AF207" s="1066"/>
      <c r="AG207" s="1066"/>
      <c r="AH207" s="1066"/>
      <c r="AI207" s="1066"/>
      <c r="AJ207" s="1066"/>
      <c r="AK207" s="1066"/>
      <c r="AL207" s="1066"/>
      <c r="AM207" s="1066"/>
      <c r="AN207" s="1066"/>
      <c r="AO207" s="1066"/>
      <c r="AP207" s="1066"/>
      <c r="AQ207" s="1066"/>
    </row>
    <row r="208" spans="2:43" ht="15.6">
      <c r="B208" s="1102" t="s">
        <v>1556</v>
      </c>
      <c r="C208" s="1372"/>
      <c r="D208" s="601"/>
      <c r="E208" s="602"/>
      <c r="F208" s="602"/>
      <c r="G208" s="600" t="s">
        <v>1561</v>
      </c>
      <c r="I208" s="7"/>
      <c r="J208" s="1066"/>
      <c r="K208" s="1066"/>
      <c r="L208" s="1066"/>
      <c r="M208" s="1066"/>
      <c r="N208" s="1066"/>
      <c r="O208" s="1066"/>
      <c r="P208" s="1066"/>
      <c r="Q208" s="1066"/>
      <c r="R208" s="1066"/>
      <c r="S208" s="1066"/>
      <c r="T208" s="1066"/>
      <c r="U208" s="1066"/>
      <c r="V208" s="1066"/>
      <c r="W208" s="1066"/>
      <c r="X208" s="1066"/>
      <c r="Y208" s="1066"/>
      <c r="Z208" s="1066"/>
      <c r="AA208" s="1066"/>
      <c r="AB208" s="1066"/>
      <c r="AC208" s="1066"/>
      <c r="AD208" s="1066"/>
      <c r="AE208" s="1066"/>
      <c r="AF208" s="1066"/>
      <c r="AG208" s="1066"/>
      <c r="AH208" s="1066"/>
      <c r="AI208" s="1066"/>
      <c r="AJ208" s="1066"/>
      <c r="AK208" s="1066"/>
      <c r="AL208" s="1066"/>
      <c r="AM208" s="1066"/>
      <c r="AN208" s="1066"/>
      <c r="AO208" s="1066"/>
      <c r="AP208" s="1066"/>
      <c r="AQ208" s="1066"/>
    </row>
    <row r="209" spans="1:43" ht="30" customHeight="1">
      <c r="B209" s="1880" t="s">
        <v>1641</v>
      </c>
      <c r="C209" s="1880"/>
      <c r="D209" s="475" t="str">
        <f>IFERROR(IF('Regulação do clima global'!J23&lt;&gt;0,'Regulação do clima global'!J23,IF('Regulação do clima global'!J25="Amazônia",VLOOKUP('Regulação do clima global'!J26,B15:D46,3,0),IF('Regulação do clima global'!J25="Caatinga",VLOOKUP('Regulação do clima global'!J26,B48:D73,3,0),IF('Regulação do clima global'!J25="Cerrado",VLOOKUP('Regulação do clima global'!J26,B75:D114,3,0),IF('Regulação do clima global'!J25="Mata Atlântica",VLOOKUP('Regulação do clima global'!J26,B116:D153,3,0),IF('Regulação do clima global'!J25="Pampa",VLOOKUP('Regulação do clima global'!J26,B155:D175,3,0),IF('Regulação do clima global'!J25="Pantanal",VLOOKUP('Regulação do clima global'!J26,B177:D192,3,0),""))))))*$F$197),"")</f>
        <v/>
      </c>
      <c r="E209" s="604" t="s">
        <v>1384</v>
      </c>
      <c r="F209" s="602"/>
      <c r="G209" s="574" t="s">
        <v>633</v>
      </c>
      <c r="H209" s="577"/>
      <c r="I209" s="7"/>
      <c r="J209" s="1487" t="s">
        <v>569</v>
      </c>
      <c r="K209" s="1488"/>
      <c r="L209" s="1488"/>
      <c r="M209" s="1488"/>
      <c r="N209" s="1488"/>
      <c r="O209" s="1488"/>
      <c r="P209" s="1490">
        <f>IF('Regulação do clima global'!J31="Sim",2,0)</f>
        <v>2</v>
      </c>
      <c r="Q209" s="1066"/>
      <c r="R209" s="1066"/>
      <c r="S209" s="1066"/>
      <c r="T209" s="1066"/>
      <c r="U209" s="1066"/>
      <c r="V209" s="1066"/>
      <c r="W209" s="1066"/>
      <c r="X209" s="1066"/>
      <c r="Y209" s="1066"/>
      <c r="Z209" s="1066"/>
      <c r="AA209" s="1066"/>
      <c r="AB209" s="1066"/>
      <c r="AC209" s="1066"/>
      <c r="AD209" s="1066"/>
      <c r="AE209" s="1066"/>
      <c r="AF209" s="1066"/>
      <c r="AG209" s="1066"/>
      <c r="AH209" s="1066"/>
      <c r="AI209" s="1066"/>
      <c r="AJ209" s="1066"/>
      <c r="AK209" s="1066"/>
      <c r="AL209" s="1066"/>
      <c r="AM209" s="1066"/>
      <c r="AN209" s="1066"/>
      <c r="AO209" s="1066"/>
      <c r="AP209" s="1066"/>
      <c r="AQ209" s="1066"/>
    </row>
    <row r="210" spans="1:43" ht="15.6" outlineLevel="1">
      <c r="B210" s="1880" t="s">
        <v>1238</v>
      </c>
      <c r="C210" s="1880"/>
      <c r="D210" s="603" t="str">
        <f>IF('Regulação do clima global'!J28="Selecione","0",(VLOOKUP('Regulação do clima global'!J28,'Apoio_Regulação do clima global'!B198:D205,3,0)))</f>
        <v>0</v>
      </c>
      <c r="E210" s="604" t="s">
        <v>1384</v>
      </c>
      <c r="F210" s="605"/>
      <c r="G210" s="578" t="s">
        <v>12</v>
      </c>
      <c r="H210" s="580"/>
      <c r="I210" s="7"/>
      <c r="J210" s="1489" t="s">
        <v>570</v>
      </c>
      <c r="K210" s="687"/>
      <c r="L210" s="687"/>
      <c r="M210" s="687"/>
      <c r="N210" s="687"/>
      <c r="O210" s="687"/>
      <c r="P210" s="1491">
        <f>IF('Regulação do clima global'!J32="Sim",2,0)</f>
        <v>0</v>
      </c>
      <c r="Q210" s="1066"/>
      <c r="R210" s="1066"/>
      <c r="S210" s="1066"/>
      <c r="T210" s="1066"/>
      <c r="U210" s="1066"/>
      <c r="V210" s="1066"/>
      <c r="W210" s="1066"/>
      <c r="X210" s="1066"/>
      <c r="Y210" s="1066"/>
      <c r="Z210" s="1066"/>
      <c r="AA210" s="1066"/>
      <c r="AB210" s="1066"/>
      <c r="AC210" s="1066"/>
      <c r="AD210" s="1066"/>
      <c r="AE210" s="1066"/>
      <c r="AF210" s="1066"/>
      <c r="AG210" s="1066"/>
      <c r="AH210" s="1066"/>
      <c r="AI210" s="1066"/>
      <c r="AJ210" s="1066"/>
      <c r="AK210" s="1066"/>
      <c r="AL210" s="1066"/>
      <c r="AM210" s="1066"/>
      <c r="AN210" s="1066"/>
      <c r="AO210" s="1066"/>
      <c r="AP210" s="1066"/>
      <c r="AQ210" s="1066"/>
    </row>
    <row r="211" spans="1:43" outlineLevel="1">
      <c r="B211" s="1880" t="s">
        <v>1643</v>
      </c>
      <c r="C211" s="1880"/>
      <c r="D211" s="606"/>
      <c r="E211" s="607"/>
      <c r="F211" s="608"/>
      <c r="G211" s="578" t="s">
        <v>634</v>
      </c>
      <c r="H211" s="583">
        <v>0.55000000000000004</v>
      </c>
      <c r="I211" s="582"/>
      <c r="J211" s="1489" t="s">
        <v>571</v>
      </c>
      <c r="K211" s="687"/>
      <c r="L211" s="687"/>
      <c r="M211" s="687"/>
      <c r="N211" s="687"/>
      <c r="O211" s="687"/>
      <c r="P211" s="1491">
        <f>IF('Regulação do clima global'!J33="Sim",2,0)</f>
        <v>0</v>
      </c>
      <c r="Q211" s="1066"/>
      <c r="R211" s="1066"/>
      <c r="S211" s="1066"/>
      <c r="T211" s="1066"/>
      <c r="U211" s="1066"/>
      <c r="V211" s="1066"/>
      <c r="W211" s="1066"/>
      <c r="X211" s="1066"/>
      <c r="Y211" s="1066"/>
      <c r="Z211" s="1066"/>
      <c r="AA211" s="1066"/>
      <c r="AB211" s="1066"/>
      <c r="AC211" s="1066"/>
      <c r="AD211" s="1066"/>
      <c r="AE211" s="1066"/>
      <c r="AF211" s="1066"/>
      <c r="AG211" s="1066"/>
      <c r="AH211" s="1066"/>
      <c r="AI211" s="1066"/>
      <c r="AJ211" s="1066"/>
      <c r="AK211" s="1066"/>
      <c r="AL211" s="1066"/>
      <c r="AM211" s="1066"/>
      <c r="AN211" s="1066"/>
      <c r="AO211" s="1066"/>
      <c r="AP211" s="1066"/>
      <c r="AQ211" s="1066"/>
    </row>
    <row r="212" spans="1:43" ht="15.6" outlineLevel="1">
      <c r="B212" s="1879" t="s">
        <v>562</v>
      </c>
      <c r="C212" s="1879"/>
      <c r="D212" s="609" t="str">
        <f>IFERROR(IF('Regulação do clima global'!$J$23&lt;&gt;"",'Regulação do clima global'!$J$23*0.4,'Regulação do clima global'!$J$27*0.4),"")</f>
        <v/>
      </c>
      <c r="E212" s="604" t="s">
        <v>1384</v>
      </c>
      <c r="F212" s="608"/>
      <c r="G212" s="578" t="s">
        <v>637</v>
      </c>
      <c r="H212" s="583">
        <v>0.25</v>
      </c>
      <c r="I212" s="582"/>
      <c r="J212" s="1489" t="s">
        <v>572</v>
      </c>
      <c r="K212" s="687"/>
      <c r="L212" s="687"/>
      <c r="M212" s="687"/>
      <c r="N212" s="687"/>
      <c r="O212" s="687"/>
      <c r="P212" s="1491">
        <f>IF('Regulação do clima global'!J35="Sim",1,0)</f>
        <v>0</v>
      </c>
      <c r="Q212" s="1066"/>
      <c r="R212" s="1066"/>
      <c r="S212" s="1066"/>
      <c r="T212" s="1066"/>
      <c r="U212" s="1066"/>
      <c r="V212" s="1066"/>
      <c r="W212" s="1066"/>
      <c r="X212" s="1066"/>
      <c r="Y212" s="1066"/>
      <c r="Z212" s="1066"/>
      <c r="AA212" s="1066"/>
      <c r="AB212" s="1066"/>
      <c r="AC212" s="1066"/>
      <c r="AD212" s="1066"/>
      <c r="AE212" s="1066"/>
      <c r="AF212" s="1066"/>
      <c r="AG212" s="1066"/>
      <c r="AH212" s="1066"/>
      <c r="AI212" s="1066"/>
      <c r="AJ212" s="1066"/>
      <c r="AK212" s="1066"/>
      <c r="AL212" s="1066"/>
      <c r="AM212" s="1066"/>
      <c r="AN212" s="1066"/>
      <c r="AO212" s="1066"/>
      <c r="AP212" s="1066"/>
      <c r="AQ212" s="1066"/>
    </row>
    <row r="213" spans="1:43" ht="15.6" outlineLevel="1">
      <c r="B213" s="1879" t="s">
        <v>563</v>
      </c>
      <c r="C213" s="1879"/>
      <c r="D213" s="609" t="str">
        <f>IFERROR(IF('Regulação do clima global'!$J$23&gt;0,'Regulação do clima global'!$J$23*0.6,'Regulação do clima global'!$J$27*0.6),"")</f>
        <v/>
      </c>
      <c r="E213" s="604" t="s">
        <v>1384</v>
      </c>
      <c r="F213" s="608"/>
      <c r="G213" s="581" t="s">
        <v>639</v>
      </c>
      <c r="H213" s="589">
        <v>0</v>
      </c>
      <c r="I213" s="582"/>
      <c r="J213" s="1489" t="s">
        <v>573</v>
      </c>
      <c r="K213" s="687"/>
      <c r="L213" s="687"/>
      <c r="M213" s="687"/>
      <c r="N213" s="687"/>
      <c r="O213" s="687"/>
      <c r="P213" s="1491">
        <f>IF('Regulação do clima global'!J36="Sim",1,0)</f>
        <v>0</v>
      </c>
      <c r="Q213" s="1066"/>
      <c r="R213" s="464" t="b">
        <f>AND('Regulação do clima global'!J31="Selecione",'Regulação do clima global'!J32="Selecione",'Regulação do clima global'!J33="Selecione",'Regulação do clima global'!J34="Selecione",'Regulação do clima global'!J35="Selecione",'Regulação do clima global'!J36="Selecione",'Regulação do clima global'!J37="Selecione",'Regulação do clima global'!J38="Selecione",'Regulação do clima global'!J39="Selecione")</f>
        <v>0</v>
      </c>
      <c r="S213" s="1066"/>
      <c r="T213" s="1066"/>
      <c r="U213" s="1066"/>
      <c r="V213" s="1066"/>
      <c r="W213" s="1066"/>
      <c r="X213" s="1066"/>
      <c r="Y213" s="1066"/>
      <c r="Z213" s="1066"/>
      <c r="AA213" s="1066"/>
      <c r="AB213" s="1066"/>
      <c r="AC213" s="1066"/>
      <c r="AD213" s="1066"/>
      <c r="AE213" s="1066"/>
      <c r="AF213" s="1066"/>
      <c r="AG213" s="1066"/>
      <c r="AH213" s="1066"/>
      <c r="AI213" s="1066"/>
      <c r="AJ213" s="1066"/>
      <c r="AK213" s="1066"/>
      <c r="AL213" s="1066"/>
      <c r="AM213" s="1066"/>
      <c r="AN213" s="1066"/>
      <c r="AO213" s="1066"/>
      <c r="AP213" s="1066"/>
      <c r="AQ213" s="1066"/>
    </row>
    <row r="214" spans="1:43" ht="15.6" outlineLevel="1">
      <c r="B214" s="1879" t="s">
        <v>564</v>
      </c>
      <c r="C214" s="1879"/>
      <c r="D214" s="609" t="str">
        <f>IFERROR(IF('Regulação do clima global'!$J$23&gt;0,'Regulação do clima global'!$J$23*0.8,'Regulação do clima global'!$J$27*0.8),"")</f>
        <v/>
      </c>
      <c r="E214" s="604" t="s">
        <v>1384</v>
      </c>
      <c r="F214" s="608"/>
      <c r="G214" s="1471" t="s">
        <v>1562</v>
      </c>
      <c r="J214" s="1489" t="s">
        <v>574</v>
      </c>
      <c r="K214" s="687"/>
      <c r="L214" s="687"/>
      <c r="M214" s="687"/>
      <c r="N214" s="687"/>
      <c r="O214" s="687"/>
      <c r="P214" s="1491">
        <f>IF('Regulação do clima global'!J37="Sim",1,0)</f>
        <v>0</v>
      </c>
      <c r="Q214" s="1066"/>
      <c r="R214" s="1066"/>
      <c r="S214" s="1066"/>
      <c r="T214" s="1066"/>
      <c r="U214" s="1066"/>
      <c r="V214" s="1066"/>
      <c r="W214" s="1066"/>
      <c r="X214" s="1066"/>
      <c r="Y214" s="1066"/>
      <c r="Z214" s="1066"/>
      <c r="AA214" s="1066"/>
      <c r="AB214" s="1066"/>
      <c r="AC214" s="1066"/>
      <c r="AD214" s="1066"/>
      <c r="AE214" s="1066"/>
      <c r="AF214" s="1066"/>
      <c r="AG214" s="1066"/>
      <c r="AH214" s="1066"/>
      <c r="AI214" s="1066"/>
      <c r="AJ214" s="1066"/>
      <c r="AK214" s="1066"/>
      <c r="AL214" s="1066"/>
      <c r="AM214" s="1066"/>
      <c r="AN214" s="1066"/>
      <c r="AO214" s="1066"/>
      <c r="AP214" s="1066"/>
      <c r="AQ214" s="1066"/>
    </row>
    <row r="215" spans="1:43" ht="15.6" outlineLevel="1">
      <c r="B215" s="610"/>
      <c r="C215" s="611" t="s">
        <v>561</v>
      </c>
      <c r="D215" s="609" t="str">
        <f>IFERROR(IF('Regulação do clima global'!$J$23&gt;0,'Regulação do clima global'!$J$23*1,'Regulação do clima global'!$J$27*1),"")</f>
        <v/>
      </c>
      <c r="E215" s="604" t="s">
        <v>1384</v>
      </c>
      <c r="F215" s="608"/>
      <c r="J215" s="1489" t="s">
        <v>575</v>
      </c>
      <c r="K215" s="687"/>
      <c r="L215" s="687"/>
      <c r="M215" s="687"/>
      <c r="N215" s="687"/>
      <c r="O215" s="687"/>
      <c r="P215" s="1491">
        <f>IF('Regulação do clima global'!J38="Sim",1,0)</f>
        <v>0</v>
      </c>
      <c r="Q215" s="1066"/>
      <c r="R215" s="1066"/>
      <c r="S215" s="1066"/>
      <c r="T215" s="1066"/>
      <c r="U215" s="1066"/>
      <c r="V215" s="1066"/>
      <c r="W215" s="1066"/>
      <c r="X215" s="1066"/>
      <c r="Y215" s="1066"/>
      <c r="Z215" s="1066"/>
      <c r="AA215" s="1066"/>
      <c r="AB215" s="1066"/>
      <c r="AC215" s="1066"/>
      <c r="AD215" s="1066"/>
      <c r="AE215" s="1066"/>
      <c r="AF215" s="1066"/>
      <c r="AG215" s="1066"/>
      <c r="AH215" s="1066"/>
      <c r="AI215" s="1066"/>
      <c r="AJ215" s="1066"/>
      <c r="AK215" s="1066"/>
      <c r="AL215" s="1066"/>
      <c r="AM215" s="1066"/>
      <c r="AN215" s="1066"/>
      <c r="AO215" s="1066"/>
      <c r="AP215" s="1066"/>
      <c r="AQ215" s="1066"/>
    </row>
    <row r="216" spans="1:43" ht="19.5" customHeight="1" outlineLevel="1">
      <c r="B216" s="1880" t="s">
        <v>1560</v>
      </c>
      <c r="C216" s="1880"/>
      <c r="D216" s="1466">
        <f>IFERROR(VLOOKUP('Regulação do clima global'!J40,'Apoio_Regulação do clima global'!G210:H213,2,0),"")</f>
        <v>0.55000000000000004</v>
      </c>
      <c r="E216" s="1432" t="s">
        <v>565</v>
      </c>
      <c r="F216" s="612"/>
      <c r="J216" s="1489" t="s">
        <v>576</v>
      </c>
      <c r="K216" s="687"/>
      <c r="L216" s="687"/>
      <c r="M216" s="687"/>
      <c r="N216" s="687"/>
      <c r="O216" s="687"/>
      <c r="P216" s="1491">
        <f>IF('Regulação do clima global'!J39="Sim",1,0)</f>
        <v>0</v>
      </c>
      <c r="Q216" s="1066"/>
      <c r="R216" s="1066"/>
      <c r="S216" s="1066"/>
      <c r="T216" s="1066"/>
      <c r="U216" s="1066"/>
      <c r="V216" s="1066"/>
      <c r="W216" s="1066"/>
      <c r="X216" s="1066"/>
      <c r="Y216" s="1066"/>
      <c r="Z216" s="1066"/>
      <c r="AA216" s="1066"/>
      <c r="AB216" s="1066"/>
      <c r="AC216" s="1066"/>
      <c r="AD216" s="1066"/>
      <c r="AE216" s="1066"/>
      <c r="AF216" s="1066"/>
      <c r="AG216" s="1066"/>
      <c r="AH216" s="1066"/>
      <c r="AI216" s="1066"/>
      <c r="AJ216" s="1066"/>
      <c r="AK216" s="1066"/>
      <c r="AL216" s="1066"/>
      <c r="AM216" s="1066"/>
      <c r="AN216" s="1066"/>
      <c r="AO216" s="1066"/>
      <c r="AP216" s="1066"/>
      <c r="AQ216" s="1066"/>
    </row>
    <row r="217" spans="1:43" ht="15.6" outlineLevel="1">
      <c r="B217" s="1881" t="s">
        <v>1239</v>
      </c>
      <c r="C217" s="1882"/>
      <c r="D217" s="613" t="str">
        <f>IFERROR(D218/'Regulação do clima global'!J18*'Regulação do clima global'!J29,"")</f>
        <v/>
      </c>
      <c r="E217" s="604" t="s">
        <v>1384</v>
      </c>
      <c r="F217" s="612"/>
      <c r="J217" s="1883" t="s">
        <v>577</v>
      </c>
      <c r="K217" s="1884"/>
      <c r="L217" s="1884"/>
      <c r="M217" s="1884"/>
      <c r="N217" s="1884"/>
      <c r="O217" s="1884"/>
      <c r="P217" s="1492">
        <f>SUM(P209:P216)</f>
        <v>2</v>
      </c>
      <c r="Q217" s="1066"/>
      <c r="R217" s="1066"/>
      <c r="S217" s="1066"/>
      <c r="T217" s="1066"/>
      <c r="U217" s="1066"/>
      <c r="V217" s="1066"/>
      <c r="W217" s="1066"/>
      <c r="X217" s="1066"/>
      <c r="Y217" s="1066"/>
      <c r="Z217" s="1066"/>
      <c r="AA217" s="1066"/>
      <c r="AB217" s="1066"/>
      <c r="AC217" s="1066"/>
      <c r="AD217" s="1066"/>
      <c r="AE217" s="1066"/>
      <c r="AF217" s="1066"/>
      <c r="AG217" s="1066"/>
      <c r="AH217" s="1066"/>
      <c r="AI217" s="1066"/>
      <c r="AJ217" s="1066"/>
      <c r="AK217" s="1066"/>
      <c r="AL217" s="1066"/>
      <c r="AM217" s="1066"/>
      <c r="AN217" s="1066"/>
      <c r="AO217" s="1066"/>
      <c r="AP217" s="1066"/>
      <c r="AQ217" s="1066"/>
    </row>
    <row r="218" spans="1:43" ht="30.75" customHeight="1" outlineLevel="1">
      <c r="B218" s="1877" t="s">
        <v>1554</v>
      </c>
      <c r="C218" s="1878"/>
      <c r="D218" s="614" t="str">
        <f>IFERROR((((Areaplantiototal*($D$215-'Apoio_Regulação do clima global'!$D$210))+('Regulação do clima global'!$J$20*($D$215-'Apoio_Regulação do clima global'!$D$212))+('Regulação do clima global'!$J$21*($D$215-'Apoio_Regulação do clima global'!$D$213))+('Regulação do clima global'!$J$22*($D$215-'Apoio_Regulação do clima global'!$D$214)))*(1-$D$216)),"")</f>
        <v/>
      </c>
      <c r="E218" s="615" t="s">
        <v>1400</v>
      </c>
      <c r="F218" s="612"/>
      <c r="G218" s="1066"/>
      <c r="H218" s="1066"/>
      <c r="I218" s="1066"/>
      <c r="Q218" s="1066"/>
      <c r="R218" s="1066"/>
      <c r="S218" s="1066"/>
      <c r="T218" s="1066"/>
      <c r="U218" s="1066"/>
      <c r="V218" s="1066"/>
      <c r="W218" s="1066"/>
      <c r="X218" s="1066"/>
      <c r="Y218" s="1066"/>
      <c r="Z218" s="1066"/>
      <c r="AA218" s="1066"/>
      <c r="AB218" s="1066"/>
      <c r="AC218" s="1066"/>
      <c r="AD218" s="1066"/>
      <c r="AE218" s="1066"/>
      <c r="AF218" s="1066"/>
      <c r="AG218" s="1066"/>
      <c r="AH218" s="1066"/>
      <c r="AI218" s="1066"/>
      <c r="AJ218" s="1066"/>
      <c r="AK218" s="1066"/>
      <c r="AL218" s="1066"/>
      <c r="AM218" s="1066"/>
      <c r="AN218" s="1066"/>
      <c r="AO218" s="1066"/>
      <c r="AP218" s="1066"/>
      <c r="AQ218" s="1066"/>
    </row>
    <row r="219" spans="1:43">
      <c r="G219" s="1066"/>
      <c r="H219" s="1066"/>
      <c r="I219" s="1066"/>
      <c r="J219" s="1066"/>
      <c r="L219" s="1066"/>
      <c r="M219" s="1066"/>
      <c r="N219" s="1066"/>
      <c r="O219" s="1066"/>
      <c r="P219" s="1066"/>
      <c r="Q219" s="1066"/>
      <c r="R219" s="1066"/>
      <c r="S219" s="1066"/>
      <c r="T219" s="1066"/>
      <c r="U219" s="1066"/>
      <c r="V219" s="1066"/>
      <c r="W219" s="1066"/>
      <c r="X219" s="1066"/>
      <c r="Y219" s="1066"/>
      <c r="Z219" s="1066"/>
      <c r="AA219" s="1066"/>
      <c r="AB219" s="1066"/>
      <c r="AC219" s="1066"/>
      <c r="AD219" s="1066"/>
      <c r="AE219" s="1066"/>
      <c r="AF219" s="1066"/>
      <c r="AG219" s="1066"/>
      <c r="AH219" s="1066"/>
      <c r="AI219" s="1066"/>
      <c r="AJ219" s="1066"/>
      <c r="AK219" s="1066"/>
      <c r="AL219" s="1066"/>
      <c r="AM219" s="1066"/>
      <c r="AN219" s="1066"/>
      <c r="AO219" s="1066"/>
      <c r="AP219" s="1066"/>
      <c r="AQ219" s="1066"/>
    </row>
    <row r="221" spans="1:43" ht="16.2" thickBot="1">
      <c r="A221" s="7"/>
      <c r="B221" s="1102" t="s">
        <v>1627</v>
      </c>
      <c r="F221" s="1456"/>
    </row>
    <row r="222" spans="1:43" ht="15" outlineLevel="1" thickBot="1">
      <c r="B222" s="1389" t="s">
        <v>1542</v>
      </c>
      <c r="C222" s="1390" t="s">
        <v>492</v>
      </c>
      <c r="D222" s="1391"/>
      <c r="E222" s="1394"/>
      <c r="F222" s="1457"/>
      <c r="G222" s="1395"/>
      <c r="H222" s="1395"/>
      <c r="I222" s="1395"/>
      <c r="Q222" s="1400"/>
      <c r="R222" s="1400"/>
      <c r="S222" s="1400"/>
      <c r="T222" s="1400"/>
      <c r="U222" s="1400"/>
      <c r="V222" s="1400"/>
      <c r="W222" s="1400"/>
      <c r="X222" s="1400"/>
      <c r="Y222" s="1400"/>
      <c r="Z222" s="1400"/>
      <c r="AA222" s="1400"/>
      <c r="AB222" s="1400"/>
      <c r="AC222" s="1400"/>
      <c r="AD222" s="1400"/>
      <c r="AE222" s="1400"/>
      <c r="AF222" s="1400"/>
      <c r="AG222" s="1400"/>
      <c r="AH222" s="1400"/>
      <c r="AI222" s="1400"/>
      <c r="AJ222" s="1400"/>
      <c r="AK222" s="1400"/>
      <c r="AL222" s="1400"/>
      <c r="AM222" s="1400"/>
      <c r="AN222" s="1400"/>
      <c r="AO222" s="1400"/>
      <c r="AP222" s="1400"/>
      <c r="AQ222" s="1400"/>
    </row>
    <row r="223" spans="1:43" ht="15" outlineLevel="1" thickTop="1">
      <c r="B223" s="1057" t="s">
        <v>1549</v>
      </c>
      <c r="C223" s="1396">
        <f>'Regulação do clima global'!J83</f>
        <v>0</v>
      </c>
      <c r="D223" s="1397" t="s">
        <v>1051</v>
      </c>
      <c r="E223" s="1394"/>
      <c r="F223" s="1457"/>
      <c r="G223" s="1395"/>
      <c r="H223" s="1395"/>
      <c r="I223" s="1395"/>
      <c r="Q223" s="1400"/>
      <c r="R223" s="1400"/>
      <c r="S223" s="1400"/>
      <c r="T223" s="1400"/>
      <c r="U223" s="1400"/>
      <c r="V223" s="1400"/>
      <c r="W223" s="1400"/>
      <c r="X223" s="1400"/>
      <c r="Y223" s="1400"/>
      <c r="Z223" s="1400"/>
      <c r="AA223" s="1400"/>
      <c r="AB223" s="1400"/>
      <c r="AC223" s="1400"/>
      <c r="AD223" s="1400"/>
      <c r="AE223" s="1400"/>
      <c r="AF223" s="1400"/>
      <c r="AG223" s="1400"/>
      <c r="AH223" s="1400"/>
      <c r="AI223" s="1400"/>
      <c r="AJ223" s="1400"/>
      <c r="AK223" s="1400"/>
      <c r="AL223" s="1400"/>
      <c r="AM223" s="1400"/>
      <c r="AN223" s="1400"/>
      <c r="AO223" s="1400"/>
      <c r="AP223" s="1400"/>
      <c r="AQ223" s="1400"/>
    </row>
    <row r="224" spans="1:43" outlineLevel="1">
      <c r="B224" s="1058" t="s">
        <v>1548</v>
      </c>
      <c r="C224" s="1398">
        <f>'Regulação do clima global'!J84</f>
        <v>0</v>
      </c>
      <c r="D224" s="1399" t="s">
        <v>1547</v>
      </c>
      <c r="E224" s="1394"/>
      <c r="F224" s="1457"/>
      <c r="G224" s="1400"/>
      <c r="H224" s="1400"/>
      <c r="I224" s="1400"/>
      <c r="Q224" s="1066"/>
      <c r="R224" s="1066"/>
      <c r="S224" s="1066"/>
      <c r="T224" s="1066"/>
      <c r="U224" s="1066"/>
      <c r="V224" s="1066"/>
      <c r="W224" s="1066"/>
      <c r="X224" s="1066"/>
      <c r="Y224" s="1066"/>
      <c r="Z224" s="1066"/>
      <c r="AA224" s="1066"/>
      <c r="AB224" s="1066"/>
      <c r="AC224" s="1066"/>
      <c r="AD224" s="1066"/>
      <c r="AE224" s="1066"/>
      <c r="AF224" s="1066"/>
      <c r="AG224" s="1066"/>
      <c r="AH224" s="1066"/>
      <c r="AI224" s="1066"/>
      <c r="AJ224" s="1066"/>
      <c r="AK224" s="1066"/>
      <c r="AL224" s="1066"/>
      <c r="AM224" s="1066"/>
      <c r="AN224" s="1066"/>
      <c r="AO224" s="1066"/>
      <c r="AP224" s="1066"/>
      <c r="AQ224" s="1066"/>
    </row>
    <row r="225" spans="2:43" outlineLevel="1">
      <c r="B225" s="1059" t="s">
        <v>1546</v>
      </c>
      <c r="C225" s="1398">
        <f>'Regulação do clima global'!J85</f>
        <v>0</v>
      </c>
      <c r="D225" s="1399" t="s">
        <v>1547</v>
      </c>
      <c r="E225" s="1394"/>
      <c r="F225" s="1457"/>
      <c r="G225" s="1401"/>
      <c r="H225" s="1402"/>
      <c r="I225" s="1401"/>
      <c r="Q225" s="1066"/>
      <c r="R225" s="1066"/>
      <c r="S225" s="1066"/>
      <c r="T225" s="1066"/>
      <c r="U225" s="1066"/>
      <c r="V225" s="1066"/>
      <c r="W225" s="1066"/>
      <c r="X225" s="1066"/>
      <c r="Y225" s="1066"/>
      <c r="Z225" s="1066"/>
      <c r="AA225" s="1066"/>
      <c r="AB225" s="1066"/>
      <c r="AC225" s="1066"/>
      <c r="AD225" s="1066"/>
      <c r="AE225" s="1066"/>
      <c r="AF225" s="1066"/>
      <c r="AG225" s="1066"/>
      <c r="AH225" s="1066"/>
      <c r="AI225" s="1066"/>
      <c r="AJ225" s="1066"/>
      <c r="AK225" s="1066"/>
      <c r="AL225" s="1066"/>
      <c r="AM225" s="1066"/>
      <c r="AN225" s="1066"/>
      <c r="AO225" s="1066"/>
      <c r="AP225" s="1066"/>
      <c r="AQ225" s="1066"/>
    </row>
    <row r="226" spans="2:43" ht="15.75" customHeight="1" outlineLevel="1">
      <c r="B226" s="1058" t="s">
        <v>1545</v>
      </c>
      <c r="C226" s="1446" t="str">
        <f>IFERROR(IF('Regulação do clima global'!J86&lt;&gt;0,'Regulação do clima global'!J86,IF('Regulação do clima global'!J88="Amazônia",VLOOKUP('Regulação do clima global'!J89,'Apoio_Regulação do clima global'!B15:D45,3,0),IF('Regulação do clima global'!J88="Caatinga",VLOOKUP('Regulação do clima global'!J89,'Apoio_Regulação do clima global'!B48:D72,3,0),IF('Regulação do clima global'!J88="Cerrado",VLOOKUP('Regulação do clima global'!J89,'Apoio_Regulação do clima global'!B75:D113,3,0),IF('Regulação do clima global'!J88="Mata Atlântica",VLOOKUP('Regulação do clima global'!J89,'Apoio_Regulação do clima global'!B116:D152,3,0),IF('Regulação do clima global'!J88="Pampa",VLOOKUP('Regulação do clima global'!J89,'Apoio_Regulação do clima global'!B155:D174,3,0),IF('Regulação do clima global'!J88="Pantanal",VLOOKUP('Regulação do clima global'!J89,'Apoio_Regulação do clima global'!B177:D192,3,0),""))))))),"")</f>
        <v/>
      </c>
      <c r="D226" s="1404" t="s">
        <v>1544</v>
      </c>
      <c r="F226" s="1458"/>
      <c r="G226" s="1066"/>
      <c r="H226" s="1405"/>
      <c r="I226" s="1405"/>
      <c r="Q226" s="1066"/>
      <c r="R226" s="1066"/>
      <c r="S226" s="1066"/>
      <c r="T226" s="1066"/>
      <c r="U226" s="1066"/>
      <c r="V226" s="1066"/>
      <c r="W226" s="1066"/>
      <c r="X226" s="1066"/>
      <c r="Y226" s="1066"/>
      <c r="Z226" s="1066"/>
      <c r="AA226" s="1066"/>
      <c r="AB226" s="1066"/>
      <c r="AC226" s="1066"/>
      <c r="AD226" s="1066"/>
      <c r="AE226" s="1066"/>
      <c r="AF226" s="1066"/>
      <c r="AG226" s="1066"/>
      <c r="AH226" s="1066"/>
      <c r="AI226" s="1066"/>
      <c r="AJ226" s="1066"/>
      <c r="AK226" s="1066"/>
      <c r="AL226" s="1066"/>
      <c r="AM226" s="1066"/>
      <c r="AN226" s="1066"/>
      <c r="AO226" s="1066"/>
      <c r="AP226" s="1066"/>
      <c r="AQ226" s="1066"/>
    </row>
    <row r="227" spans="2:43" ht="15.75" customHeight="1" outlineLevel="1">
      <c r="B227" s="1058" t="s">
        <v>1636</v>
      </c>
      <c r="C227" s="1446" t="str">
        <f>IFERROR(IF('Regulação do clima global'!J86&lt;&gt;0,'Regulação do clima global'!J86,IF('Regulação do clima global'!J90="Floresta Primária",'Apoio_Regulação do clima global'!C226,'Apoio_Regulação do clima global'!C226*'Apoio_Regulação do clima global'!F197)),"")</f>
        <v/>
      </c>
      <c r="D227" s="1404" t="s">
        <v>1544</v>
      </c>
      <c r="F227" s="1458"/>
      <c r="G227" s="1066"/>
      <c r="H227" s="1405"/>
      <c r="I227" s="1405"/>
      <c r="Q227" s="1066"/>
      <c r="R227" s="1066"/>
      <c r="S227" s="1066"/>
      <c r="T227" s="1066"/>
      <c r="U227" s="1066"/>
      <c r="V227" s="1066"/>
      <c r="W227" s="1066"/>
      <c r="X227" s="1066"/>
      <c r="Y227" s="1066"/>
      <c r="Z227" s="1066"/>
      <c r="AA227" s="1066"/>
      <c r="AB227" s="1066"/>
      <c r="AC227" s="1066"/>
      <c r="AD227" s="1066"/>
      <c r="AE227" s="1066"/>
      <c r="AF227" s="1066"/>
      <c r="AG227" s="1066"/>
      <c r="AH227" s="1066"/>
      <c r="AI227" s="1066"/>
      <c r="AJ227" s="1066"/>
      <c r="AK227" s="1066"/>
      <c r="AL227" s="1066"/>
      <c r="AM227" s="1066"/>
      <c r="AN227" s="1066"/>
      <c r="AO227" s="1066"/>
      <c r="AP227" s="1066"/>
      <c r="AQ227" s="1066"/>
    </row>
    <row r="228" spans="2:43" ht="15" customHeight="1" outlineLevel="1">
      <c r="B228" s="1058" t="s">
        <v>1543</v>
      </c>
      <c r="C228" s="1446" t="str">
        <f>IF('Regulação do clima global'!J98="",'Regulação do clima global'!J101,'Regulação do clima global'!J98)</f>
        <v/>
      </c>
      <c r="D228" s="1404" t="s">
        <v>1544</v>
      </c>
      <c r="E228" s="1474"/>
      <c r="F228" s="1458"/>
      <c r="G228" s="1066"/>
      <c r="H228" s="1405"/>
      <c r="I228" s="1405"/>
      <c r="Q228" s="1066"/>
      <c r="R228" s="1066"/>
      <c r="S228" s="1066"/>
      <c r="T228" s="1066"/>
      <c r="U228" s="1066"/>
      <c r="V228" s="1066"/>
      <c r="W228" s="1066"/>
      <c r="X228" s="1066"/>
      <c r="Y228" s="1066"/>
      <c r="Z228" s="1066"/>
      <c r="AA228" s="1066"/>
      <c r="AB228" s="1066"/>
      <c r="AC228" s="1066"/>
      <c r="AD228" s="1066"/>
      <c r="AE228" s="1066"/>
      <c r="AF228" s="1066"/>
      <c r="AG228" s="1066"/>
      <c r="AH228" s="1066"/>
      <c r="AI228" s="1066"/>
      <c r="AJ228" s="1066"/>
      <c r="AK228" s="1066"/>
      <c r="AL228" s="1066"/>
      <c r="AM228" s="1066"/>
      <c r="AN228" s="1066"/>
      <c r="AO228" s="1066"/>
      <c r="AP228" s="1066"/>
      <c r="AQ228" s="1066"/>
    </row>
    <row r="229" spans="2:43" ht="15" customHeight="1" outlineLevel="1">
      <c r="B229" s="1058" t="s">
        <v>1551</v>
      </c>
      <c r="C229" s="1403">
        <f>'Regulação do clima global'!J82</f>
        <v>0</v>
      </c>
      <c r="D229" s="1404" t="s">
        <v>580</v>
      </c>
      <c r="E229" s="1394"/>
      <c r="F229" s="1458"/>
      <c r="G229" s="1066"/>
      <c r="H229" s="1405"/>
      <c r="I229" s="1405"/>
      <c r="Q229" s="1066"/>
      <c r="R229" s="1066"/>
      <c r="S229" s="1066"/>
      <c r="T229" s="1066"/>
      <c r="U229" s="1066"/>
      <c r="V229" s="1066"/>
      <c r="W229" s="1066"/>
      <c r="X229" s="1066"/>
      <c r="Y229" s="1066"/>
      <c r="Z229" s="1066"/>
      <c r="AA229" s="1066"/>
      <c r="AB229" s="1066"/>
      <c r="AC229" s="1066"/>
      <c r="AD229" s="1066"/>
      <c r="AE229" s="1066"/>
      <c r="AF229" s="1066"/>
      <c r="AG229" s="1066"/>
      <c r="AH229" s="1066"/>
      <c r="AI229" s="1066"/>
      <c r="AJ229" s="1066"/>
      <c r="AK229" s="1066"/>
      <c r="AL229" s="1066"/>
      <c r="AM229" s="1066"/>
      <c r="AN229" s="1066"/>
      <c r="AO229" s="1066"/>
      <c r="AP229" s="1066"/>
      <c r="AQ229" s="1066"/>
    </row>
    <row r="230" spans="2:43" ht="15" outlineLevel="1" thickBot="1">
      <c r="B230" s="1060" t="s">
        <v>1550</v>
      </c>
      <c r="C230" s="1406" t="str">
        <f>IF('Regulação do clima global'!J96="","",IF('Regulação do clima global'!J96="Bom",F235,IF('Regulação do clima global'!J96="Regular",'Apoio_Regulação do clima global'!G235,H235)))</f>
        <v/>
      </c>
      <c r="D230" s="1407"/>
      <c r="E230" s="1394"/>
      <c r="F230" s="1458"/>
      <c r="G230" s="1066"/>
      <c r="H230" s="1053"/>
      <c r="I230" s="1405"/>
      <c r="Q230" s="1066"/>
      <c r="R230" s="1066"/>
      <c r="S230" s="1066"/>
      <c r="T230" s="1066"/>
      <c r="U230" s="1066"/>
      <c r="V230" s="1066"/>
      <c r="W230" s="1066"/>
      <c r="X230" s="1066"/>
      <c r="Y230" s="1066"/>
      <c r="Z230" s="1066"/>
      <c r="AA230" s="1066"/>
      <c r="AB230" s="1066"/>
      <c r="AC230" s="1066"/>
      <c r="AD230" s="1066"/>
      <c r="AE230" s="1066"/>
      <c r="AF230" s="1066"/>
      <c r="AG230" s="1066"/>
      <c r="AH230" s="1066"/>
      <c r="AI230" s="1066"/>
      <c r="AJ230" s="1066"/>
      <c r="AK230" s="1066"/>
      <c r="AL230" s="1066"/>
      <c r="AM230" s="1066"/>
      <c r="AN230" s="1066"/>
      <c r="AO230" s="1066"/>
      <c r="AP230" s="1066"/>
      <c r="AQ230" s="1066"/>
    </row>
    <row r="231" spans="2:43" outlineLevel="1">
      <c r="B231" s="1408"/>
      <c r="C231" s="1066"/>
      <c r="D231" s="1066"/>
      <c r="E231" s="1066"/>
      <c r="F231" s="1457"/>
      <c r="G231" s="1066"/>
      <c r="H231" s="1066"/>
      <c r="I231" s="1066"/>
      <c r="Q231" s="1066"/>
      <c r="R231" s="1066"/>
      <c r="S231" s="1066"/>
      <c r="T231" s="1066"/>
      <c r="U231" s="1066"/>
      <c r="V231" s="1066"/>
      <c r="W231" s="1066"/>
      <c r="X231" s="1066"/>
      <c r="Y231" s="1066"/>
      <c r="Z231" s="1066"/>
      <c r="AA231" s="1066"/>
      <c r="AB231" s="1066"/>
      <c r="AC231" s="1066"/>
      <c r="AD231" s="1066"/>
      <c r="AE231" s="1066"/>
      <c r="AF231" s="1066"/>
      <c r="AG231" s="1066"/>
      <c r="AH231" s="1066"/>
      <c r="AI231" s="1066"/>
      <c r="AJ231" s="1066"/>
      <c r="AK231" s="1066"/>
      <c r="AL231" s="1066"/>
      <c r="AM231" s="1066"/>
      <c r="AN231" s="1066"/>
      <c r="AO231" s="1066"/>
      <c r="AP231" s="1066"/>
      <c r="AQ231" s="1066"/>
    </row>
    <row r="232" spans="2:43" outlineLevel="1">
      <c r="B232" s="600" t="s">
        <v>1539</v>
      </c>
      <c r="C232" s="1066"/>
      <c r="D232" s="1066"/>
      <c r="E232" s="1066"/>
      <c r="F232" s="1457"/>
      <c r="G232" s="1066"/>
      <c r="H232" s="1066"/>
      <c r="I232" s="1066"/>
      <c r="J232" s="1066"/>
      <c r="K232" s="1066"/>
      <c r="L232" s="1066"/>
      <c r="M232" s="1066"/>
      <c r="N232" s="1066"/>
      <c r="O232" s="1066"/>
      <c r="P232" s="1066"/>
      <c r="Q232" s="1066"/>
      <c r="R232" s="1066"/>
      <c r="S232" s="1066"/>
      <c r="T232" s="1066"/>
      <c r="U232" s="1066"/>
      <c r="V232" s="1066"/>
      <c r="W232" s="1066"/>
      <c r="X232" s="1066"/>
      <c r="Y232" s="1066"/>
      <c r="Z232" s="1066"/>
      <c r="AA232" s="1066"/>
      <c r="AB232" s="1066"/>
      <c r="AC232" s="1066"/>
      <c r="AD232" s="1066"/>
      <c r="AE232" s="1066"/>
      <c r="AF232" s="1066"/>
      <c r="AG232" s="1066"/>
      <c r="AH232" s="1066"/>
      <c r="AI232" s="1066"/>
      <c r="AJ232" s="1066"/>
      <c r="AK232" s="1066"/>
      <c r="AL232" s="1066"/>
      <c r="AM232" s="1066"/>
      <c r="AN232" s="1066"/>
      <c r="AO232" s="1066"/>
      <c r="AP232" s="1066"/>
      <c r="AQ232" s="1066"/>
    </row>
    <row r="233" spans="2:43" ht="15" outlineLevel="1" thickBot="1">
      <c r="B233" s="1376" t="s">
        <v>566</v>
      </c>
      <c r="C233" s="1431" t="s">
        <v>1628</v>
      </c>
      <c r="D233" s="1431" t="s">
        <v>1629</v>
      </c>
      <c r="F233" s="1459" t="s">
        <v>639</v>
      </c>
      <c r="G233" s="1386" t="s">
        <v>637</v>
      </c>
      <c r="H233" s="1386" t="s">
        <v>634</v>
      </c>
      <c r="K233" s="1066"/>
      <c r="L233" s="1066"/>
      <c r="M233" s="1066"/>
      <c r="N233" s="1066"/>
      <c r="O233" s="1066"/>
      <c r="P233" s="1066"/>
      <c r="Q233" s="1066"/>
      <c r="R233" s="1066"/>
      <c r="S233" s="1066"/>
      <c r="T233" s="1066"/>
      <c r="U233" s="1066"/>
      <c r="V233" s="1066"/>
      <c r="W233" s="1066"/>
      <c r="X233" s="1066"/>
      <c r="Y233" s="1066"/>
      <c r="Z233" s="1066"/>
      <c r="AA233" s="1066"/>
      <c r="AB233" s="1066"/>
      <c r="AC233" s="1066"/>
      <c r="AD233" s="1066"/>
      <c r="AE233" s="1066"/>
      <c r="AF233" s="1066"/>
      <c r="AG233" s="1066"/>
      <c r="AH233" s="1066"/>
      <c r="AI233" s="1066"/>
      <c r="AJ233" s="1066"/>
      <c r="AK233" s="1066"/>
      <c r="AL233" s="1066"/>
      <c r="AM233" s="1066"/>
      <c r="AN233" s="1066"/>
      <c r="AO233" s="1066"/>
      <c r="AP233" s="1066"/>
      <c r="AQ233" s="1066"/>
    </row>
    <row r="234" spans="2:43" ht="29.4" outlineLevel="1" thickTop="1">
      <c r="B234" s="1448" t="s">
        <v>581</v>
      </c>
      <c r="C234" s="1385">
        <v>1</v>
      </c>
      <c r="D234" s="1450">
        <f>IF('Regulação do clima global'!J93="Sim",1,0)</f>
        <v>0</v>
      </c>
      <c r="F234" s="1460" t="s">
        <v>649</v>
      </c>
      <c r="G234" s="1387" t="s">
        <v>650</v>
      </c>
      <c r="H234" s="1387" t="s">
        <v>651</v>
      </c>
      <c r="K234" s="1066"/>
      <c r="L234" s="1066"/>
      <c r="M234" s="1066"/>
      <c r="N234" s="1066"/>
      <c r="O234" s="1066"/>
      <c r="P234" s="1066"/>
      <c r="Q234" s="1066"/>
      <c r="R234" s="1066"/>
      <c r="S234" s="1066"/>
      <c r="T234" s="1066"/>
      <c r="U234" s="1066"/>
      <c r="V234" s="1066"/>
      <c r="W234" s="1066"/>
      <c r="X234" s="1066"/>
      <c r="Y234" s="1066"/>
      <c r="Z234" s="1066"/>
      <c r="AA234" s="1066"/>
      <c r="AB234" s="1066"/>
      <c r="AC234" s="1066"/>
      <c r="AD234" s="1066"/>
      <c r="AE234" s="1066"/>
      <c r="AF234" s="1066"/>
      <c r="AG234" s="1066"/>
      <c r="AH234" s="1066"/>
      <c r="AI234" s="1066"/>
      <c r="AJ234" s="1066"/>
      <c r="AK234" s="1066"/>
      <c r="AL234" s="1066"/>
      <c r="AM234" s="1066"/>
      <c r="AN234" s="1066"/>
      <c r="AO234" s="1066"/>
      <c r="AP234" s="1066"/>
      <c r="AQ234" s="1066"/>
    </row>
    <row r="235" spans="2:43" ht="28.8" outlineLevel="1">
      <c r="B235" s="1448" t="s">
        <v>582</v>
      </c>
      <c r="C235" s="1385">
        <v>1</v>
      </c>
      <c r="D235" s="1450">
        <f>IF('Regulação do clima global'!J94="Não",1,0)</f>
        <v>0</v>
      </c>
      <c r="F235" s="1472">
        <v>0.1</v>
      </c>
      <c r="G235" s="1388">
        <v>0.25</v>
      </c>
      <c r="H235" s="1388">
        <v>0.4</v>
      </c>
      <c r="K235" s="1066"/>
      <c r="L235" s="1066"/>
      <c r="M235" s="1066"/>
      <c r="N235" s="1066"/>
      <c r="O235" s="1066"/>
      <c r="P235" s="1066"/>
      <c r="Q235" s="1066"/>
      <c r="R235" s="1066"/>
      <c r="S235" s="1066"/>
      <c r="T235" s="1066"/>
      <c r="U235" s="1066"/>
      <c r="V235" s="1066"/>
      <c r="W235" s="1066"/>
      <c r="X235" s="1066"/>
      <c r="Y235" s="1066"/>
      <c r="Z235" s="1066"/>
      <c r="AA235" s="1066"/>
      <c r="AB235" s="1066"/>
      <c r="AC235" s="1066"/>
      <c r="AD235" s="1066"/>
      <c r="AE235" s="1066"/>
      <c r="AF235" s="1066"/>
      <c r="AG235" s="1066"/>
      <c r="AH235" s="1066"/>
      <c r="AI235" s="1066"/>
      <c r="AJ235" s="1066"/>
      <c r="AK235" s="1066"/>
      <c r="AL235" s="1066"/>
      <c r="AM235" s="1066"/>
      <c r="AN235" s="1066"/>
      <c r="AO235" s="1066"/>
      <c r="AP235" s="1066"/>
      <c r="AQ235" s="1066"/>
    </row>
    <row r="236" spans="2:43" ht="57.6" outlineLevel="1">
      <c r="B236" s="1449" t="s">
        <v>652</v>
      </c>
      <c r="C236" s="1385">
        <v>1</v>
      </c>
      <c r="D236" s="1450">
        <f>IF('Regulação do clima global'!J95="Sim",1,0)</f>
        <v>0</v>
      </c>
      <c r="E236" s="1066"/>
      <c r="F236" s="1507" t="s">
        <v>1562</v>
      </c>
      <c r="G236" s="1066"/>
      <c r="H236" s="1066"/>
      <c r="I236" s="1066"/>
      <c r="J236" s="1066"/>
      <c r="K236" s="1066"/>
      <c r="L236" s="1066"/>
      <c r="M236" s="1066"/>
      <c r="N236" s="1066"/>
      <c r="O236" s="1066"/>
      <c r="P236" s="1066"/>
      <c r="Q236" s="1066"/>
      <c r="R236" s="1066"/>
      <c r="S236" s="1066"/>
      <c r="T236" s="1066"/>
      <c r="U236" s="1066"/>
      <c r="V236" s="1066"/>
      <c r="W236" s="1066"/>
      <c r="X236" s="1066"/>
      <c r="Y236" s="1066"/>
      <c r="Z236" s="1066"/>
      <c r="AA236" s="1066"/>
      <c r="AB236" s="1066"/>
      <c r="AC236" s="1066"/>
      <c r="AD236" s="1066"/>
      <c r="AE236" s="1066"/>
      <c r="AF236" s="1066"/>
      <c r="AG236" s="1066"/>
      <c r="AH236" s="1066"/>
      <c r="AI236" s="1066"/>
      <c r="AJ236" s="1066"/>
      <c r="AK236" s="1066"/>
      <c r="AL236" s="1066"/>
      <c r="AM236" s="1066"/>
      <c r="AN236" s="1066"/>
      <c r="AO236" s="1066"/>
      <c r="AP236" s="1066"/>
      <c r="AQ236" s="1066"/>
    </row>
    <row r="237" spans="2:43" outlineLevel="1">
      <c r="B237" s="1066"/>
      <c r="C237" s="1483"/>
      <c r="D237" s="1451">
        <f>SUM(D234:D236)</f>
        <v>0</v>
      </c>
      <c r="E237" s="1066"/>
      <c r="F237" s="1457"/>
      <c r="G237" s="1066"/>
      <c r="H237" s="1066"/>
      <c r="I237" s="1066"/>
      <c r="J237" s="1066"/>
      <c r="K237" s="1066"/>
      <c r="L237" s="1066"/>
      <c r="M237" s="1066"/>
      <c r="N237" s="1066"/>
      <c r="O237" s="1066"/>
      <c r="P237" s="1066"/>
      <c r="Q237" s="1066"/>
      <c r="R237" s="1066"/>
      <c r="S237" s="1066"/>
      <c r="T237" s="1066"/>
      <c r="U237" s="1066"/>
      <c r="V237" s="1066"/>
      <c r="W237" s="1066"/>
      <c r="X237" s="1066"/>
      <c r="Y237" s="1066"/>
      <c r="Z237" s="1066"/>
      <c r="AA237" s="1066"/>
      <c r="AB237" s="1066"/>
      <c r="AC237" s="1066"/>
      <c r="AD237" s="1066"/>
      <c r="AE237" s="1066"/>
      <c r="AF237" s="1066"/>
      <c r="AG237" s="1066"/>
      <c r="AH237" s="1066"/>
      <c r="AI237" s="1066"/>
      <c r="AJ237" s="1066"/>
      <c r="AK237" s="1066"/>
      <c r="AL237" s="1066"/>
      <c r="AM237" s="1066"/>
      <c r="AN237" s="1066"/>
      <c r="AO237" s="1066"/>
      <c r="AP237" s="1066"/>
      <c r="AQ237" s="1066"/>
    </row>
    <row r="238" spans="2:43" outlineLevel="1">
      <c r="B238" s="1408"/>
      <c r="C238" s="1066"/>
      <c r="D238" s="1447" t="b">
        <f>AND('Regulação do clima global'!J93="Selecione",'Regulação do clima global'!J94="Selecione",'Regulação do clima global'!J95="Selecione")</f>
        <v>1</v>
      </c>
      <c r="E238" s="1066"/>
      <c r="F238" s="1457"/>
      <c r="G238" s="1066"/>
      <c r="H238" s="1066"/>
      <c r="I238" s="1066"/>
      <c r="J238" s="1066"/>
      <c r="K238" s="1066"/>
      <c r="L238" s="1066"/>
      <c r="M238" s="1066"/>
      <c r="N238" s="1066"/>
      <c r="O238" s="1066"/>
      <c r="P238" s="1066"/>
      <c r="Q238" s="1066"/>
      <c r="R238" s="1066"/>
      <c r="S238" s="1066"/>
      <c r="T238" s="1066"/>
      <c r="U238" s="1066"/>
      <c r="V238" s="1066"/>
      <c r="W238" s="1066"/>
      <c r="X238" s="1066"/>
      <c r="Y238" s="1066"/>
      <c r="Z238" s="1066"/>
      <c r="AA238" s="1066"/>
      <c r="AB238" s="1066"/>
      <c r="AC238" s="1066"/>
      <c r="AD238" s="1066"/>
      <c r="AE238" s="1066"/>
      <c r="AF238" s="1066"/>
      <c r="AG238" s="1066"/>
      <c r="AH238" s="1066"/>
      <c r="AI238" s="1066"/>
      <c r="AJ238" s="1066"/>
      <c r="AK238" s="1066"/>
      <c r="AL238" s="1066"/>
      <c r="AM238" s="1066"/>
      <c r="AN238" s="1066"/>
      <c r="AO238" s="1066"/>
      <c r="AP238" s="1066"/>
      <c r="AQ238" s="1066"/>
    </row>
    <row r="239" spans="2:43" ht="15" outlineLevel="1" thickBot="1">
      <c r="B239" s="1408"/>
      <c r="C239" s="1066"/>
      <c r="D239" s="1447"/>
      <c r="E239" s="1066"/>
      <c r="F239" s="1457"/>
      <c r="G239" s="1066"/>
      <c r="H239" s="1066"/>
      <c r="I239" s="1066"/>
      <c r="J239" s="1066"/>
      <c r="K239" s="1066"/>
      <c r="L239" s="1066"/>
      <c r="M239" s="1066"/>
      <c r="N239" s="1066"/>
      <c r="O239" s="1066"/>
      <c r="P239" s="1066"/>
      <c r="Q239" s="1066"/>
      <c r="R239" s="1066"/>
      <c r="S239" s="1066"/>
      <c r="T239" s="1066"/>
      <c r="U239" s="1066"/>
      <c r="V239" s="1066"/>
      <c r="W239" s="1066"/>
      <c r="X239" s="1066"/>
      <c r="Y239" s="1066"/>
      <c r="Z239" s="1066"/>
      <c r="AA239" s="1066"/>
      <c r="AB239" s="1066"/>
      <c r="AC239" s="1066"/>
      <c r="AD239" s="1066"/>
      <c r="AE239" s="1066"/>
      <c r="AF239" s="1066"/>
      <c r="AG239" s="1066"/>
      <c r="AH239" s="1066"/>
      <c r="AI239" s="1066"/>
      <c r="AJ239" s="1066"/>
      <c r="AK239" s="1066"/>
      <c r="AL239" s="1066"/>
      <c r="AM239" s="1066"/>
      <c r="AN239" s="1066"/>
      <c r="AO239" s="1066"/>
      <c r="AP239" s="1066"/>
      <c r="AQ239" s="1066"/>
    </row>
    <row r="240" spans="2:43" ht="15" customHeight="1" outlineLevel="1" thickBot="1">
      <c r="B240" s="1392" t="s">
        <v>1553</v>
      </c>
      <c r="C240" s="1393"/>
      <c r="D240" s="1393"/>
      <c r="E240" s="1393"/>
      <c r="F240" s="1461"/>
      <c r="G240" s="1393"/>
      <c r="H240" s="1393"/>
      <c r="I240" s="1393"/>
      <c r="J240" s="1393"/>
      <c r="K240" s="1393"/>
      <c r="L240" s="1393"/>
      <c r="M240" s="1393"/>
      <c r="N240" s="1393"/>
      <c r="O240" s="1393"/>
      <c r="P240" s="1497"/>
      <c r="Q240" s="1497"/>
      <c r="R240" s="1497"/>
      <c r="S240" s="1497"/>
      <c r="T240" s="1497"/>
      <c r="U240" s="1497"/>
      <c r="V240" s="1497"/>
      <c r="W240" s="1497"/>
      <c r="X240" s="1497"/>
      <c r="Y240" s="1497"/>
      <c r="Z240" s="1497"/>
      <c r="AA240" s="1497"/>
      <c r="AB240" s="1497"/>
      <c r="AC240" s="1497"/>
      <c r="AD240" s="1497"/>
      <c r="AE240" s="1497"/>
      <c r="AF240" s="1497"/>
      <c r="AG240" s="1497"/>
      <c r="AH240" s="1497"/>
      <c r="AI240" s="1497"/>
      <c r="AJ240" s="1497"/>
      <c r="AK240" s="1497"/>
      <c r="AL240" s="1497"/>
      <c r="AM240" s="1497"/>
      <c r="AN240" s="1497"/>
      <c r="AO240" s="1497"/>
      <c r="AP240" s="1497"/>
      <c r="AQ240" s="1498"/>
    </row>
    <row r="241" spans="2:43" ht="15.75" customHeight="1" outlineLevel="1">
      <c r="B241" s="1409" t="s">
        <v>1552</v>
      </c>
      <c r="C241" s="1410">
        <v>0</v>
      </c>
      <c r="D241" s="1410">
        <v>1</v>
      </c>
      <c r="E241" s="1410">
        <v>2</v>
      </c>
      <c r="F241" s="1462">
        <v>3</v>
      </c>
      <c r="G241" s="1410">
        <v>4</v>
      </c>
      <c r="H241" s="1410">
        <f t="shared" ref="H241:AQ241" si="7">G241+1</f>
        <v>5</v>
      </c>
      <c r="I241" s="1410">
        <f t="shared" si="7"/>
        <v>6</v>
      </c>
      <c r="J241" s="1410">
        <f t="shared" si="7"/>
        <v>7</v>
      </c>
      <c r="K241" s="1410">
        <f t="shared" si="7"/>
        <v>8</v>
      </c>
      <c r="L241" s="1410">
        <f t="shared" si="7"/>
        <v>9</v>
      </c>
      <c r="M241" s="1410">
        <f t="shared" si="7"/>
        <v>10</v>
      </c>
      <c r="N241" s="1410">
        <f t="shared" si="7"/>
        <v>11</v>
      </c>
      <c r="O241" s="1410">
        <f t="shared" si="7"/>
        <v>12</v>
      </c>
      <c r="P241" s="1410">
        <f t="shared" si="7"/>
        <v>13</v>
      </c>
      <c r="Q241" s="1410">
        <f t="shared" si="7"/>
        <v>14</v>
      </c>
      <c r="R241" s="1410">
        <f t="shared" si="7"/>
        <v>15</v>
      </c>
      <c r="S241" s="1410">
        <f t="shared" si="7"/>
        <v>16</v>
      </c>
      <c r="T241" s="1410">
        <f t="shared" si="7"/>
        <v>17</v>
      </c>
      <c r="U241" s="1410">
        <f t="shared" si="7"/>
        <v>18</v>
      </c>
      <c r="V241" s="1410">
        <f t="shared" si="7"/>
        <v>19</v>
      </c>
      <c r="W241" s="1410">
        <f t="shared" si="7"/>
        <v>20</v>
      </c>
      <c r="X241" s="1410">
        <f t="shared" si="7"/>
        <v>21</v>
      </c>
      <c r="Y241" s="1410">
        <f t="shared" si="7"/>
        <v>22</v>
      </c>
      <c r="Z241" s="1410">
        <f t="shared" si="7"/>
        <v>23</v>
      </c>
      <c r="AA241" s="1410">
        <f t="shared" si="7"/>
        <v>24</v>
      </c>
      <c r="AB241" s="1410">
        <f t="shared" si="7"/>
        <v>25</v>
      </c>
      <c r="AC241" s="1410">
        <f t="shared" si="7"/>
        <v>26</v>
      </c>
      <c r="AD241" s="1410">
        <f t="shared" si="7"/>
        <v>27</v>
      </c>
      <c r="AE241" s="1410">
        <f t="shared" si="7"/>
        <v>28</v>
      </c>
      <c r="AF241" s="1410">
        <f t="shared" si="7"/>
        <v>29</v>
      </c>
      <c r="AG241" s="1410">
        <f t="shared" si="7"/>
        <v>30</v>
      </c>
      <c r="AH241" s="1410">
        <f t="shared" si="7"/>
        <v>31</v>
      </c>
      <c r="AI241" s="1410">
        <f t="shared" si="7"/>
        <v>32</v>
      </c>
      <c r="AJ241" s="1410">
        <f t="shared" si="7"/>
        <v>33</v>
      </c>
      <c r="AK241" s="1410">
        <f t="shared" si="7"/>
        <v>34</v>
      </c>
      <c r="AL241" s="1410">
        <f t="shared" si="7"/>
        <v>35</v>
      </c>
      <c r="AM241" s="1410">
        <f t="shared" si="7"/>
        <v>36</v>
      </c>
      <c r="AN241" s="1410">
        <f t="shared" si="7"/>
        <v>37</v>
      </c>
      <c r="AO241" s="1410">
        <f t="shared" si="7"/>
        <v>38</v>
      </c>
      <c r="AP241" s="1410">
        <f t="shared" si="7"/>
        <v>39</v>
      </c>
      <c r="AQ241" s="1453">
        <f t="shared" si="7"/>
        <v>40</v>
      </c>
    </row>
    <row r="242" spans="2:43" ht="30" customHeight="1" outlineLevel="1">
      <c r="B242" s="1061" t="s">
        <v>1499</v>
      </c>
      <c r="C242" s="1055">
        <f>C223</f>
        <v>0</v>
      </c>
      <c r="D242" s="1056">
        <f>C242-($C$224*C242)</f>
        <v>0</v>
      </c>
      <c r="E242" s="1055">
        <f t="shared" ref="E242:AQ242" si="8">D242-($C$224*D242)</f>
        <v>0</v>
      </c>
      <c r="F242" s="1463">
        <f t="shared" si="8"/>
        <v>0</v>
      </c>
      <c r="G242" s="1055">
        <f t="shared" si="8"/>
        <v>0</v>
      </c>
      <c r="H242" s="1055">
        <f t="shared" si="8"/>
        <v>0</v>
      </c>
      <c r="I242" s="1055">
        <f t="shared" si="8"/>
        <v>0</v>
      </c>
      <c r="J242" s="1055">
        <f t="shared" si="8"/>
        <v>0</v>
      </c>
      <c r="K242" s="1055">
        <f t="shared" si="8"/>
        <v>0</v>
      </c>
      <c r="L242" s="1055">
        <f t="shared" si="8"/>
        <v>0</v>
      </c>
      <c r="M242" s="1055">
        <f t="shared" si="8"/>
        <v>0</v>
      </c>
      <c r="N242" s="1055">
        <f t="shared" si="8"/>
        <v>0</v>
      </c>
      <c r="O242" s="1055">
        <f t="shared" si="8"/>
        <v>0</v>
      </c>
      <c r="P242" s="1499">
        <f t="shared" si="8"/>
        <v>0</v>
      </c>
      <c r="Q242" s="1499">
        <f t="shared" si="8"/>
        <v>0</v>
      </c>
      <c r="R242" s="1499">
        <f t="shared" si="8"/>
        <v>0</v>
      </c>
      <c r="S242" s="1499">
        <f t="shared" si="8"/>
        <v>0</v>
      </c>
      <c r="T242" s="1499">
        <f t="shared" si="8"/>
        <v>0</v>
      </c>
      <c r="U242" s="1499">
        <f t="shared" si="8"/>
        <v>0</v>
      </c>
      <c r="V242" s="1499">
        <f t="shared" si="8"/>
        <v>0</v>
      </c>
      <c r="W242" s="1499">
        <f t="shared" si="8"/>
        <v>0</v>
      </c>
      <c r="X242" s="1499">
        <f t="shared" si="8"/>
        <v>0</v>
      </c>
      <c r="Y242" s="1499">
        <f t="shared" si="8"/>
        <v>0</v>
      </c>
      <c r="Z242" s="1499">
        <f t="shared" si="8"/>
        <v>0</v>
      </c>
      <c r="AA242" s="1499">
        <f t="shared" si="8"/>
        <v>0</v>
      </c>
      <c r="AB242" s="1499">
        <f t="shared" si="8"/>
        <v>0</v>
      </c>
      <c r="AC242" s="1499">
        <f t="shared" si="8"/>
        <v>0</v>
      </c>
      <c r="AD242" s="1499">
        <f t="shared" si="8"/>
        <v>0</v>
      </c>
      <c r="AE242" s="1499">
        <f t="shared" si="8"/>
        <v>0</v>
      </c>
      <c r="AF242" s="1499">
        <f t="shared" si="8"/>
        <v>0</v>
      </c>
      <c r="AG242" s="1499">
        <f t="shared" si="8"/>
        <v>0</v>
      </c>
      <c r="AH242" s="1499">
        <f t="shared" si="8"/>
        <v>0</v>
      </c>
      <c r="AI242" s="1499">
        <f t="shared" si="8"/>
        <v>0</v>
      </c>
      <c r="AJ242" s="1499">
        <f t="shared" si="8"/>
        <v>0</v>
      </c>
      <c r="AK242" s="1499">
        <f t="shared" si="8"/>
        <v>0</v>
      </c>
      <c r="AL242" s="1499">
        <f t="shared" si="8"/>
        <v>0</v>
      </c>
      <c r="AM242" s="1499">
        <f t="shared" si="8"/>
        <v>0</v>
      </c>
      <c r="AN242" s="1499">
        <f t="shared" si="8"/>
        <v>0</v>
      </c>
      <c r="AO242" s="1499">
        <f t="shared" si="8"/>
        <v>0</v>
      </c>
      <c r="AP242" s="1499">
        <f t="shared" si="8"/>
        <v>0</v>
      </c>
      <c r="AQ242" s="1500">
        <f t="shared" si="8"/>
        <v>0</v>
      </c>
    </row>
    <row r="243" spans="2:43" ht="30" customHeight="1" outlineLevel="1">
      <c r="B243" s="1062" t="s">
        <v>645</v>
      </c>
      <c r="C243" s="1055">
        <f>C223</f>
        <v>0</v>
      </c>
      <c r="D243" s="1055">
        <f>C243-($C$225*C243)</f>
        <v>0</v>
      </c>
      <c r="E243" s="1055">
        <f t="shared" ref="E243:AQ243" si="9">D243-($C$225*D243)</f>
        <v>0</v>
      </c>
      <c r="F243" s="1463">
        <f t="shared" si="9"/>
        <v>0</v>
      </c>
      <c r="G243" s="1055">
        <f t="shared" si="9"/>
        <v>0</v>
      </c>
      <c r="H243" s="1055">
        <f t="shared" si="9"/>
        <v>0</v>
      </c>
      <c r="I243" s="1055">
        <f t="shared" si="9"/>
        <v>0</v>
      </c>
      <c r="J243" s="1055">
        <f t="shared" si="9"/>
        <v>0</v>
      </c>
      <c r="K243" s="1055">
        <f t="shared" si="9"/>
        <v>0</v>
      </c>
      <c r="L243" s="1055">
        <f t="shared" si="9"/>
        <v>0</v>
      </c>
      <c r="M243" s="1055">
        <f t="shared" si="9"/>
        <v>0</v>
      </c>
      <c r="N243" s="1055">
        <f t="shared" si="9"/>
        <v>0</v>
      </c>
      <c r="O243" s="1055">
        <f t="shared" si="9"/>
        <v>0</v>
      </c>
      <c r="P243" s="1499">
        <f t="shared" si="9"/>
        <v>0</v>
      </c>
      <c r="Q243" s="1499">
        <f t="shared" si="9"/>
        <v>0</v>
      </c>
      <c r="R243" s="1499">
        <f t="shared" si="9"/>
        <v>0</v>
      </c>
      <c r="S243" s="1499">
        <f t="shared" si="9"/>
        <v>0</v>
      </c>
      <c r="T243" s="1499">
        <f t="shared" si="9"/>
        <v>0</v>
      </c>
      <c r="U243" s="1499">
        <f t="shared" si="9"/>
        <v>0</v>
      </c>
      <c r="V243" s="1499">
        <f t="shared" si="9"/>
        <v>0</v>
      </c>
      <c r="W243" s="1499">
        <f t="shared" si="9"/>
        <v>0</v>
      </c>
      <c r="X243" s="1499">
        <f t="shared" si="9"/>
        <v>0</v>
      </c>
      <c r="Y243" s="1499">
        <f t="shared" si="9"/>
        <v>0</v>
      </c>
      <c r="Z243" s="1499">
        <f t="shared" si="9"/>
        <v>0</v>
      </c>
      <c r="AA243" s="1499">
        <f t="shared" si="9"/>
        <v>0</v>
      </c>
      <c r="AB243" s="1499">
        <f t="shared" si="9"/>
        <v>0</v>
      </c>
      <c r="AC243" s="1499">
        <f t="shared" si="9"/>
        <v>0</v>
      </c>
      <c r="AD243" s="1499">
        <f t="shared" si="9"/>
        <v>0</v>
      </c>
      <c r="AE243" s="1499">
        <f t="shared" si="9"/>
        <v>0</v>
      </c>
      <c r="AF243" s="1499">
        <f t="shared" si="9"/>
        <v>0</v>
      </c>
      <c r="AG243" s="1499">
        <f t="shared" si="9"/>
        <v>0</v>
      </c>
      <c r="AH243" s="1499">
        <f t="shared" si="9"/>
        <v>0</v>
      </c>
      <c r="AI243" s="1499">
        <f t="shared" si="9"/>
        <v>0</v>
      </c>
      <c r="AJ243" s="1499">
        <f t="shared" si="9"/>
        <v>0</v>
      </c>
      <c r="AK243" s="1499">
        <f t="shared" si="9"/>
        <v>0</v>
      </c>
      <c r="AL243" s="1499">
        <f t="shared" si="9"/>
        <v>0</v>
      </c>
      <c r="AM243" s="1499">
        <f t="shared" si="9"/>
        <v>0</v>
      </c>
      <c r="AN243" s="1499">
        <f t="shared" si="9"/>
        <v>0</v>
      </c>
      <c r="AO243" s="1499">
        <f t="shared" si="9"/>
        <v>0</v>
      </c>
      <c r="AP243" s="1499">
        <f t="shared" si="9"/>
        <v>0</v>
      </c>
      <c r="AQ243" s="1500">
        <f t="shared" si="9"/>
        <v>0</v>
      </c>
    </row>
    <row r="244" spans="2:43" ht="16.5" customHeight="1" outlineLevel="1">
      <c r="B244" s="1062" t="s">
        <v>1637</v>
      </c>
      <c r="C244" s="1411">
        <f t="shared" ref="C244" si="10">C243-C242</f>
        <v>0</v>
      </c>
      <c r="D244" s="1411">
        <f>IF(D241&lt;=$C$229,(D243-D242),0)</f>
        <v>0</v>
      </c>
      <c r="E244" s="1411">
        <f>IF(E241&lt;=$C$229,(E243-E242),0)</f>
        <v>0</v>
      </c>
      <c r="F244" s="1411">
        <f t="shared" ref="F244:AQ244" si="11">IF(F241&lt;=$C$229,(F243-F242),0)</f>
        <v>0</v>
      </c>
      <c r="G244" s="1411">
        <f t="shared" si="11"/>
        <v>0</v>
      </c>
      <c r="H244" s="1411">
        <f t="shared" si="11"/>
        <v>0</v>
      </c>
      <c r="I244" s="1411">
        <f t="shared" si="11"/>
        <v>0</v>
      </c>
      <c r="J244" s="1411">
        <f t="shared" si="11"/>
        <v>0</v>
      </c>
      <c r="K244" s="1411">
        <f t="shared" si="11"/>
        <v>0</v>
      </c>
      <c r="L244" s="1411">
        <f t="shared" si="11"/>
        <v>0</v>
      </c>
      <c r="M244" s="1411">
        <f t="shared" si="11"/>
        <v>0</v>
      </c>
      <c r="N244" s="1411">
        <f t="shared" si="11"/>
        <v>0</v>
      </c>
      <c r="O244" s="1411">
        <f t="shared" si="11"/>
        <v>0</v>
      </c>
      <c r="P244" s="1411">
        <f t="shared" si="11"/>
        <v>0</v>
      </c>
      <c r="Q244" s="1411">
        <f t="shared" si="11"/>
        <v>0</v>
      </c>
      <c r="R244" s="1411">
        <f t="shared" si="11"/>
        <v>0</v>
      </c>
      <c r="S244" s="1411">
        <f t="shared" si="11"/>
        <v>0</v>
      </c>
      <c r="T244" s="1411">
        <f t="shared" si="11"/>
        <v>0</v>
      </c>
      <c r="U244" s="1411">
        <f t="shared" si="11"/>
        <v>0</v>
      </c>
      <c r="V244" s="1411">
        <f t="shared" si="11"/>
        <v>0</v>
      </c>
      <c r="W244" s="1411">
        <f t="shared" si="11"/>
        <v>0</v>
      </c>
      <c r="X244" s="1411">
        <f t="shared" si="11"/>
        <v>0</v>
      </c>
      <c r="Y244" s="1411">
        <f t="shared" si="11"/>
        <v>0</v>
      </c>
      <c r="Z244" s="1411">
        <f t="shared" si="11"/>
        <v>0</v>
      </c>
      <c r="AA244" s="1411">
        <f t="shared" si="11"/>
        <v>0</v>
      </c>
      <c r="AB244" s="1411">
        <f t="shared" si="11"/>
        <v>0</v>
      </c>
      <c r="AC244" s="1411">
        <f t="shared" si="11"/>
        <v>0</v>
      </c>
      <c r="AD244" s="1411">
        <f t="shared" si="11"/>
        <v>0</v>
      </c>
      <c r="AE244" s="1411">
        <f t="shared" si="11"/>
        <v>0</v>
      </c>
      <c r="AF244" s="1411">
        <f t="shared" si="11"/>
        <v>0</v>
      </c>
      <c r="AG244" s="1411">
        <f t="shared" si="11"/>
        <v>0</v>
      </c>
      <c r="AH244" s="1411">
        <f t="shared" si="11"/>
        <v>0</v>
      </c>
      <c r="AI244" s="1411">
        <f t="shared" si="11"/>
        <v>0</v>
      </c>
      <c r="AJ244" s="1411">
        <f t="shared" si="11"/>
        <v>0</v>
      </c>
      <c r="AK244" s="1411">
        <f t="shared" si="11"/>
        <v>0</v>
      </c>
      <c r="AL244" s="1411">
        <f t="shared" si="11"/>
        <v>0</v>
      </c>
      <c r="AM244" s="1411">
        <f t="shared" si="11"/>
        <v>0</v>
      </c>
      <c r="AN244" s="1411">
        <f t="shared" si="11"/>
        <v>0</v>
      </c>
      <c r="AO244" s="1411">
        <f t="shared" si="11"/>
        <v>0</v>
      </c>
      <c r="AP244" s="1411">
        <f t="shared" si="11"/>
        <v>0</v>
      </c>
      <c r="AQ244" s="1494">
        <f t="shared" si="11"/>
        <v>0</v>
      </c>
    </row>
    <row r="245" spans="2:43" outlineLevel="1">
      <c r="B245" s="1062" t="s">
        <v>1638</v>
      </c>
      <c r="C245" s="1411"/>
      <c r="D245" s="1411">
        <f>IF((D244-C244)&lt;0,"",(D244-C244))</f>
        <v>0</v>
      </c>
      <c r="E245" s="1411">
        <f t="shared" ref="E245:AQ245" si="12">IF((E244-D244)&lt;0,"",(E244-D244))</f>
        <v>0</v>
      </c>
      <c r="F245" s="1411">
        <f t="shared" si="12"/>
        <v>0</v>
      </c>
      <c r="G245" s="1411">
        <f t="shared" si="12"/>
        <v>0</v>
      </c>
      <c r="H245" s="1411">
        <f t="shared" si="12"/>
        <v>0</v>
      </c>
      <c r="I245" s="1411">
        <f t="shared" si="12"/>
        <v>0</v>
      </c>
      <c r="J245" s="1411">
        <f t="shared" si="12"/>
        <v>0</v>
      </c>
      <c r="K245" s="1411">
        <f t="shared" si="12"/>
        <v>0</v>
      </c>
      <c r="L245" s="1411">
        <f t="shared" si="12"/>
        <v>0</v>
      </c>
      <c r="M245" s="1411">
        <f t="shared" si="12"/>
        <v>0</v>
      </c>
      <c r="N245" s="1411">
        <f t="shared" si="12"/>
        <v>0</v>
      </c>
      <c r="O245" s="1411">
        <f t="shared" si="12"/>
        <v>0</v>
      </c>
      <c r="P245" s="1411">
        <f t="shared" si="12"/>
        <v>0</v>
      </c>
      <c r="Q245" s="1411">
        <f t="shared" si="12"/>
        <v>0</v>
      </c>
      <c r="R245" s="1411">
        <f t="shared" si="12"/>
        <v>0</v>
      </c>
      <c r="S245" s="1411">
        <f t="shared" si="12"/>
        <v>0</v>
      </c>
      <c r="T245" s="1411">
        <f t="shared" si="12"/>
        <v>0</v>
      </c>
      <c r="U245" s="1411">
        <f t="shared" si="12"/>
        <v>0</v>
      </c>
      <c r="V245" s="1411">
        <f t="shared" si="12"/>
        <v>0</v>
      </c>
      <c r="W245" s="1411">
        <f t="shared" si="12"/>
        <v>0</v>
      </c>
      <c r="X245" s="1411">
        <f t="shared" si="12"/>
        <v>0</v>
      </c>
      <c r="Y245" s="1411">
        <f t="shared" si="12"/>
        <v>0</v>
      </c>
      <c r="Z245" s="1411">
        <f t="shared" si="12"/>
        <v>0</v>
      </c>
      <c r="AA245" s="1411">
        <f t="shared" si="12"/>
        <v>0</v>
      </c>
      <c r="AB245" s="1411">
        <f t="shared" si="12"/>
        <v>0</v>
      </c>
      <c r="AC245" s="1411">
        <f t="shared" si="12"/>
        <v>0</v>
      </c>
      <c r="AD245" s="1411">
        <f t="shared" si="12"/>
        <v>0</v>
      </c>
      <c r="AE245" s="1411">
        <f t="shared" si="12"/>
        <v>0</v>
      </c>
      <c r="AF245" s="1411">
        <f t="shared" si="12"/>
        <v>0</v>
      </c>
      <c r="AG245" s="1411">
        <f t="shared" si="12"/>
        <v>0</v>
      </c>
      <c r="AH245" s="1411">
        <f t="shared" si="12"/>
        <v>0</v>
      </c>
      <c r="AI245" s="1411">
        <f t="shared" si="12"/>
        <v>0</v>
      </c>
      <c r="AJ245" s="1411">
        <f t="shared" si="12"/>
        <v>0</v>
      </c>
      <c r="AK245" s="1411">
        <f t="shared" si="12"/>
        <v>0</v>
      </c>
      <c r="AL245" s="1411">
        <f t="shared" si="12"/>
        <v>0</v>
      </c>
      <c r="AM245" s="1411">
        <f t="shared" si="12"/>
        <v>0</v>
      </c>
      <c r="AN245" s="1411">
        <f t="shared" si="12"/>
        <v>0</v>
      </c>
      <c r="AO245" s="1411">
        <f t="shared" si="12"/>
        <v>0</v>
      </c>
      <c r="AP245" s="1411">
        <f t="shared" si="12"/>
        <v>0</v>
      </c>
      <c r="AQ245" s="1494">
        <f t="shared" si="12"/>
        <v>0</v>
      </c>
    </row>
    <row r="246" spans="2:43" outlineLevel="1">
      <c r="B246" s="1063" t="s">
        <v>646</v>
      </c>
      <c r="C246" s="1065"/>
      <c r="D246" s="1452" t="str">
        <f>IFERROR(D245*($C$227-$C$228),"")</f>
        <v/>
      </c>
      <c r="E246" s="1452" t="str">
        <f t="shared" ref="E246:AQ246" si="13">IFERROR(E245*($C$227-$C$228),"")</f>
        <v/>
      </c>
      <c r="F246" s="1452" t="str">
        <f t="shared" si="13"/>
        <v/>
      </c>
      <c r="G246" s="1452" t="str">
        <f t="shared" si="13"/>
        <v/>
      </c>
      <c r="H246" s="1452" t="str">
        <f t="shared" si="13"/>
        <v/>
      </c>
      <c r="I246" s="1452" t="str">
        <f t="shared" si="13"/>
        <v/>
      </c>
      <c r="J246" s="1452" t="str">
        <f t="shared" si="13"/>
        <v/>
      </c>
      <c r="K246" s="1452" t="str">
        <f t="shared" si="13"/>
        <v/>
      </c>
      <c r="L246" s="1452" t="str">
        <f t="shared" si="13"/>
        <v/>
      </c>
      <c r="M246" s="1452" t="str">
        <f t="shared" si="13"/>
        <v/>
      </c>
      <c r="N246" s="1452" t="str">
        <f t="shared" si="13"/>
        <v/>
      </c>
      <c r="O246" s="1452" t="str">
        <f t="shared" si="13"/>
        <v/>
      </c>
      <c r="P246" s="1452" t="str">
        <f t="shared" si="13"/>
        <v/>
      </c>
      <c r="Q246" s="1452" t="str">
        <f t="shared" si="13"/>
        <v/>
      </c>
      <c r="R246" s="1452" t="str">
        <f t="shared" si="13"/>
        <v/>
      </c>
      <c r="S246" s="1452" t="str">
        <f t="shared" si="13"/>
        <v/>
      </c>
      <c r="T246" s="1452" t="str">
        <f t="shared" si="13"/>
        <v/>
      </c>
      <c r="U246" s="1452" t="str">
        <f t="shared" si="13"/>
        <v/>
      </c>
      <c r="V246" s="1452" t="str">
        <f t="shared" si="13"/>
        <v/>
      </c>
      <c r="W246" s="1452" t="str">
        <f t="shared" si="13"/>
        <v/>
      </c>
      <c r="X246" s="1452" t="str">
        <f t="shared" si="13"/>
        <v/>
      </c>
      <c r="Y246" s="1452" t="str">
        <f t="shared" si="13"/>
        <v/>
      </c>
      <c r="Z246" s="1452" t="str">
        <f t="shared" si="13"/>
        <v/>
      </c>
      <c r="AA246" s="1452" t="str">
        <f t="shared" si="13"/>
        <v/>
      </c>
      <c r="AB246" s="1452" t="str">
        <f t="shared" si="13"/>
        <v/>
      </c>
      <c r="AC246" s="1452" t="str">
        <f t="shared" si="13"/>
        <v/>
      </c>
      <c r="AD246" s="1452" t="str">
        <f t="shared" si="13"/>
        <v/>
      </c>
      <c r="AE246" s="1452" t="str">
        <f t="shared" si="13"/>
        <v/>
      </c>
      <c r="AF246" s="1452" t="str">
        <f t="shared" si="13"/>
        <v/>
      </c>
      <c r="AG246" s="1452" t="str">
        <f t="shared" si="13"/>
        <v/>
      </c>
      <c r="AH246" s="1452" t="str">
        <f t="shared" si="13"/>
        <v/>
      </c>
      <c r="AI246" s="1452" t="str">
        <f t="shared" si="13"/>
        <v/>
      </c>
      <c r="AJ246" s="1452" t="str">
        <f t="shared" si="13"/>
        <v/>
      </c>
      <c r="AK246" s="1452" t="str">
        <f t="shared" si="13"/>
        <v/>
      </c>
      <c r="AL246" s="1452" t="str">
        <f t="shared" si="13"/>
        <v/>
      </c>
      <c r="AM246" s="1452" t="str">
        <f t="shared" si="13"/>
        <v/>
      </c>
      <c r="AN246" s="1452" t="str">
        <f t="shared" si="13"/>
        <v/>
      </c>
      <c r="AO246" s="1452" t="str">
        <f t="shared" si="13"/>
        <v/>
      </c>
      <c r="AP246" s="1452" t="str">
        <f t="shared" si="13"/>
        <v/>
      </c>
      <c r="AQ246" s="1495" t="str">
        <f t="shared" si="13"/>
        <v/>
      </c>
    </row>
    <row r="247" spans="2:43" outlineLevel="1">
      <c r="B247" s="1063" t="s">
        <v>647</v>
      </c>
      <c r="C247" s="1065"/>
      <c r="D247" s="1412" t="str">
        <f>IFERROR(D246*$C$230,"")</f>
        <v/>
      </c>
      <c r="E247" s="1412" t="str">
        <f t="shared" ref="E247:AQ247" si="14">IFERROR(E246*$C$230,"")</f>
        <v/>
      </c>
      <c r="F247" s="1464" t="str">
        <f t="shared" si="14"/>
        <v/>
      </c>
      <c r="G247" s="1412" t="str">
        <f t="shared" si="14"/>
        <v/>
      </c>
      <c r="H247" s="1412" t="str">
        <f t="shared" si="14"/>
        <v/>
      </c>
      <c r="I247" s="1412" t="str">
        <f t="shared" si="14"/>
        <v/>
      </c>
      <c r="J247" s="1412" t="str">
        <f t="shared" si="14"/>
        <v/>
      </c>
      <c r="K247" s="1412" t="str">
        <f t="shared" si="14"/>
        <v/>
      </c>
      <c r="L247" s="1412" t="str">
        <f t="shared" si="14"/>
        <v/>
      </c>
      <c r="M247" s="1412" t="str">
        <f t="shared" si="14"/>
        <v/>
      </c>
      <c r="N247" s="1412" t="str">
        <f t="shared" si="14"/>
        <v/>
      </c>
      <c r="O247" s="1412" t="str">
        <f t="shared" si="14"/>
        <v/>
      </c>
      <c r="P247" s="1412" t="str">
        <f t="shared" si="14"/>
        <v/>
      </c>
      <c r="Q247" s="1412" t="str">
        <f t="shared" si="14"/>
        <v/>
      </c>
      <c r="R247" s="1412" t="str">
        <f t="shared" si="14"/>
        <v/>
      </c>
      <c r="S247" s="1412" t="str">
        <f t="shared" si="14"/>
        <v/>
      </c>
      <c r="T247" s="1412" t="str">
        <f t="shared" si="14"/>
        <v/>
      </c>
      <c r="U247" s="1412" t="str">
        <f t="shared" si="14"/>
        <v/>
      </c>
      <c r="V247" s="1412" t="str">
        <f t="shared" si="14"/>
        <v/>
      </c>
      <c r="W247" s="1412" t="str">
        <f t="shared" si="14"/>
        <v/>
      </c>
      <c r="X247" s="1412" t="str">
        <f t="shared" si="14"/>
        <v/>
      </c>
      <c r="Y247" s="1412" t="str">
        <f t="shared" si="14"/>
        <v/>
      </c>
      <c r="Z247" s="1412" t="str">
        <f t="shared" si="14"/>
        <v/>
      </c>
      <c r="AA247" s="1412" t="str">
        <f t="shared" si="14"/>
        <v/>
      </c>
      <c r="AB247" s="1412" t="str">
        <f t="shared" si="14"/>
        <v/>
      </c>
      <c r="AC247" s="1412" t="str">
        <f t="shared" si="14"/>
        <v/>
      </c>
      <c r="AD247" s="1412" t="str">
        <f t="shared" si="14"/>
        <v/>
      </c>
      <c r="AE247" s="1412" t="str">
        <f t="shared" si="14"/>
        <v/>
      </c>
      <c r="AF247" s="1412" t="str">
        <f t="shared" si="14"/>
        <v/>
      </c>
      <c r="AG247" s="1412" t="str">
        <f t="shared" si="14"/>
        <v/>
      </c>
      <c r="AH247" s="1412" t="str">
        <f t="shared" si="14"/>
        <v/>
      </c>
      <c r="AI247" s="1412" t="str">
        <f t="shared" si="14"/>
        <v/>
      </c>
      <c r="AJ247" s="1412" t="str">
        <f t="shared" si="14"/>
        <v/>
      </c>
      <c r="AK247" s="1412" t="str">
        <f t="shared" si="14"/>
        <v/>
      </c>
      <c r="AL247" s="1412" t="str">
        <f t="shared" si="14"/>
        <v/>
      </c>
      <c r="AM247" s="1412" t="str">
        <f t="shared" si="14"/>
        <v/>
      </c>
      <c r="AN247" s="1412" t="str">
        <f t="shared" si="14"/>
        <v/>
      </c>
      <c r="AO247" s="1412" t="str">
        <f t="shared" si="14"/>
        <v/>
      </c>
      <c r="AP247" s="1412" t="str">
        <f t="shared" si="14"/>
        <v/>
      </c>
      <c r="AQ247" s="1413" t="str">
        <f t="shared" si="14"/>
        <v/>
      </c>
    </row>
    <row r="248" spans="2:43" ht="15" outlineLevel="1" thickBot="1">
      <c r="B248" s="1064" t="s">
        <v>648</v>
      </c>
      <c r="C248" s="1414"/>
      <c r="D248" s="1415">
        <f>IF(D241&lt;=$C$229,(D246-D247),0)</f>
        <v>0</v>
      </c>
      <c r="E248" s="1415">
        <f t="shared" ref="E248:AQ248" si="15">IF(E241&lt;=$C$229,(E246-E247),0)</f>
        <v>0</v>
      </c>
      <c r="F248" s="1465">
        <f t="shared" si="15"/>
        <v>0</v>
      </c>
      <c r="G248" s="1415">
        <f t="shared" si="15"/>
        <v>0</v>
      </c>
      <c r="H248" s="1415">
        <f t="shared" si="15"/>
        <v>0</v>
      </c>
      <c r="I248" s="1415">
        <f t="shared" si="15"/>
        <v>0</v>
      </c>
      <c r="J248" s="1415">
        <f t="shared" si="15"/>
        <v>0</v>
      </c>
      <c r="K248" s="1415">
        <f t="shared" si="15"/>
        <v>0</v>
      </c>
      <c r="L248" s="1415">
        <f t="shared" si="15"/>
        <v>0</v>
      </c>
      <c r="M248" s="1415">
        <f t="shared" si="15"/>
        <v>0</v>
      </c>
      <c r="N248" s="1415">
        <f t="shared" si="15"/>
        <v>0</v>
      </c>
      <c r="O248" s="1415">
        <f t="shared" si="15"/>
        <v>0</v>
      </c>
      <c r="P248" s="1415">
        <f t="shared" si="15"/>
        <v>0</v>
      </c>
      <c r="Q248" s="1415">
        <f t="shared" si="15"/>
        <v>0</v>
      </c>
      <c r="R248" s="1415">
        <f t="shared" si="15"/>
        <v>0</v>
      </c>
      <c r="S248" s="1415">
        <f t="shared" si="15"/>
        <v>0</v>
      </c>
      <c r="T248" s="1415">
        <f t="shared" si="15"/>
        <v>0</v>
      </c>
      <c r="U248" s="1415">
        <f t="shared" si="15"/>
        <v>0</v>
      </c>
      <c r="V248" s="1415">
        <f t="shared" si="15"/>
        <v>0</v>
      </c>
      <c r="W248" s="1415">
        <f t="shared" si="15"/>
        <v>0</v>
      </c>
      <c r="X248" s="1415">
        <f t="shared" si="15"/>
        <v>0</v>
      </c>
      <c r="Y248" s="1415">
        <f t="shared" si="15"/>
        <v>0</v>
      </c>
      <c r="Z248" s="1415">
        <f t="shared" si="15"/>
        <v>0</v>
      </c>
      <c r="AA248" s="1415">
        <f t="shared" si="15"/>
        <v>0</v>
      </c>
      <c r="AB248" s="1415">
        <f t="shared" si="15"/>
        <v>0</v>
      </c>
      <c r="AC248" s="1415">
        <f t="shared" si="15"/>
        <v>0</v>
      </c>
      <c r="AD248" s="1415">
        <f t="shared" si="15"/>
        <v>0</v>
      </c>
      <c r="AE248" s="1415">
        <f t="shared" si="15"/>
        <v>0</v>
      </c>
      <c r="AF248" s="1415">
        <f t="shared" si="15"/>
        <v>0</v>
      </c>
      <c r="AG248" s="1415">
        <f t="shared" si="15"/>
        <v>0</v>
      </c>
      <c r="AH248" s="1415">
        <f t="shared" si="15"/>
        <v>0</v>
      </c>
      <c r="AI248" s="1415">
        <f t="shared" si="15"/>
        <v>0</v>
      </c>
      <c r="AJ248" s="1415">
        <f t="shared" si="15"/>
        <v>0</v>
      </c>
      <c r="AK248" s="1415">
        <f t="shared" si="15"/>
        <v>0</v>
      </c>
      <c r="AL248" s="1415">
        <f t="shared" si="15"/>
        <v>0</v>
      </c>
      <c r="AM248" s="1415">
        <f t="shared" si="15"/>
        <v>0</v>
      </c>
      <c r="AN248" s="1415">
        <f t="shared" si="15"/>
        <v>0</v>
      </c>
      <c r="AO248" s="1415">
        <f t="shared" si="15"/>
        <v>0</v>
      </c>
      <c r="AP248" s="1415">
        <f t="shared" si="15"/>
        <v>0</v>
      </c>
      <c r="AQ248" s="1454">
        <f t="shared" si="15"/>
        <v>0</v>
      </c>
    </row>
    <row r="249" spans="2:43" ht="15" outlineLevel="1" thickBot="1">
      <c r="B249" s="1416"/>
      <c r="C249" s="1066"/>
      <c r="D249" s="1066"/>
      <c r="E249" s="1066"/>
      <c r="F249" s="1457"/>
      <c r="G249" s="1066"/>
      <c r="H249" s="1066"/>
      <c r="I249" s="1066"/>
      <c r="J249" s="1066"/>
      <c r="K249" s="1066"/>
      <c r="L249" s="1066"/>
      <c r="M249" s="1066"/>
      <c r="N249" s="1066"/>
      <c r="O249" s="1066"/>
      <c r="P249" s="1066"/>
      <c r="Q249" s="1066"/>
      <c r="R249" s="1066"/>
      <c r="S249" s="1066"/>
      <c r="T249" s="1066"/>
      <c r="U249" s="1066"/>
      <c r="V249" s="1066"/>
      <c r="W249" s="1066"/>
      <c r="X249" s="1066"/>
      <c r="Y249" s="1066"/>
      <c r="Z249" s="1066"/>
      <c r="AA249" s="1066"/>
      <c r="AB249" s="1066"/>
      <c r="AC249" s="1066"/>
      <c r="AD249" s="1066"/>
      <c r="AE249" s="1066"/>
      <c r="AF249" s="1066"/>
      <c r="AG249" s="1066"/>
      <c r="AH249" s="1066"/>
      <c r="AI249" s="1066"/>
      <c r="AJ249" s="1066"/>
      <c r="AK249" s="1066"/>
      <c r="AL249" s="1066"/>
      <c r="AM249" s="1066"/>
      <c r="AN249" s="1066"/>
      <c r="AO249" s="1066"/>
      <c r="AP249" s="1066"/>
      <c r="AQ249" s="1066"/>
    </row>
    <row r="250" spans="2:43" outlineLevel="1">
      <c r="B250" s="1417" t="s">
        <v>1630</v>
      </c>
      <c r="C250" s="1418"/>
      <c r="D250" s="1874"/>
      <c r="E250" s="1875"/>
      <c r="F250" s="1457"/>
      <c r="G250" s="1066"/>
      <c r="H250" s="1066"/>
      <c r="I250" s="1066"/>
      <c r="J250" s="1066"/>
      <c r="K250" s="1066"/>
      <c r="L250" s="1066"/>
      <c r="M250" s="1066"/>
      <c r="N250" s="1066"/>
      <c r="O250" s="1066"/>
      <c r="P250" s="1066"/>
      <c r="Q250" s="1066"/>
      <c r="R250" s="1066"/>
      <c r="S250" s="1066"/>
      <c r="T250" s="1066"/>
      <c r="U250" s="1066"/>
      <c r="V250" s="1066"/>
      <c r="W250" s="1066"/>
      <c r="X250" s="1066"/>
      <c r="Y250" s="1066"/>
      <c r="Z250" s="1066"/>
      <c r="AA250" s="1066"/>
      <c r="AB250" s="1066"/>
      <c r="AC250" s="1066"/>
      <c r="AD250" s="1066"/>
      <c r="AE250" s="1066"/>
      <c r="AF250" s="1066"/>
      <c r="AG250" s="1066"/>
      <c r="AH250" s="1066"/>
      <c r="AI250" s="1066"/>
      <c r="AJ250" s="1066"/>
      <c r="AK250" s="1066"/>
      <c r="AL250" s="1066"/>
      <c r="AM250" s="1066"/>
      <c r="AN250" s="1066"/>
      <c r="AO250" s="1066"/>
      <c r="AP250" s="1066"/>
      <c r="AQ250" s="1066"/>
    </row>
    <row r="251" spans="2:43" outlineLevel="1">
      <c r="B251" s="1419" t="s">
        <v>1642</v>
      </c>
      <c r="C251" s="1420">
        <f>IFERROR(SUM(D245:AQ245),"")</f>
        <v>0</v>
      </c>
      <c r="D251" s="1872" t="s">
        <v>1051</v>
      </c>
      <c r="E251" s="1873"/>
      <c r="F251" s="1457"/>
      <c r="G251" s="1066"/>
      <c r="H251" s="1066"/>
      <c r="I251" s="1066"/>
      <c r="J251" s="1066"/>
      <c r="K251" s="1066"/>
      <c r="L251" s="1066"/>
      <c r="M251" s="1066"/>
      <c r="N251" s="1066"/>
      <c r="O251" s="1066"/>
      <c r="P251" s="1066"/>
      <c r="Q251" s="1066"/>
      <c r="R251" s="1066"/>
      <c r="S251" s="1066"/>
      <c r="T251" s="1066"/>
      <c r="U251" s="1066"/>
      <c r="V251" s="1066"/>
      <c r="W251" s="1066"/>
      <c r="X251" s="1066"/>
      <c r="Y251" s="1066"/>
      <c r="Z251" s="1066"/>
      <c r="AA251" s="1066"/>
      <c r="AB251" s="1066"/>
      <c r="AC251" s="1066"/>
      <c r="AD251" s="1066"/>
      <c r="AE251" s="1066"/>
      <c r="AF251" s="1066"/>
      <c r="AG251" s="1066"/>
      <c r="AH251" s="1066"/>
      <c r="AI251" s="1066"/>
      <c r="AJ251" s="1066"/>
      <c r="AK251" s="1066"/>
      <c r="AL251" s="1066"/>
      <c r="AM251" s="1066"/>
      <c r="AN251" s="1066"/>
      <c r="AO251" s="1066"/>
      <c r="AP251" s="1066"/>
      <c r="AQ251" s="1066"/>
    </row>
    <row r="252" spans="2:43" ht="15" customHeight="1" outlineLevel="1" thickBot="1">
      <c r="B252" s="1421" t="s">
        <v>1626</v>
      </c>
      <c r="C252" s="1422">
        <f>IFERROR(SUM(D248:AQ248)," ")</f>
        <v>0</v>
      </c>
      <c r="D252" s="1423" t="s">
        <v>1555</v>
      </c>
      <c r="E252" s="1424"/>
      <c r="F252" s="1457"/>
      <c r="G252" s="1066"/>
      <c r="H252" s="1066"/>
      <c r="I252" s="1066"/>
      <c r="J252" s="1066"/>
      <c r="K252" s="1066"/>
      <c r="L252" s="1066"/>
      <c r="M252" s="1066"/>
      <c r="N252" s="1066"/>
      <c r="O252" s="1066"/>
      <c r="P252" s="1066"/>
      <c r="Q252" s="1066"/>
      <c r="R252" s="1066"/>
      <c r="S252" s="1066"/>
      <c r="T252" s="1066"/>
      <c r="U252" s="1066"/>
      <c r="V252" s="1066"/>
      <c r="W252" s="1066"/>
      <c r="X252" s="1066"/>
      <c r="Y252" s="1066"/>
      <c r="Z252" s="1066"/>
      <c r="AA252" s="1066"/>
      <c r="AB252" s="1066"/>
      <c r="AC252" s="1066"/>
      <c r="AD252" s="1066"/>
      <c r="AE252" s="1066"/>
      <c r="AF252" s="1066"/>
      <c r="AG252" s="1066"/>
      <c r="AH252" s="1066"/>
      <c r="AI252" s="1066"/>
      <c r="AJ252" s="1066"/>
      <c r="AK252" s="1066"/>
      <c r="AL252" s="1066"/>
      <c r="AM252" s="1066"/>
      <c r="AN252" s="1066"/>
      <c r="AO252" s="1066"/>
      <c r="AP252" s="1066"/>
      <c r="AQ252" s="1066"/>
    </row>
    <row r="253" spans="2:43" outlineLevel="1">
      <c r="B253" s="1066"/>
      <c r="C253" s="1066"/>
      <c r="D253" s="1066"/>
      <c r="E253" s="1066"/>
      <c r="F253" s="1457"/>
      <c r="G253" s="1066"/>
      <c r="H253" s="1066"/>
      <c r="I253" s="1066"/>
      <c r="J253" s="1066"/>
      <c r="K253" s="1066"/>
      <c r="L253" s="1066"/>
      <c r="M253" s="1066"/>
      <c r="N253" s="1066"/>
      <c r="O253" s="1066"/>
      <c r="P253" s="1066"/>
      <c r="Q253" s="1066"/>
      <c r="R253" s="1066"/>
      <c r="S253" s="1066"/>
      <c r="T253" s="1066"/>
      <c r="U253" s="1066"/>
      <c r="V253" s="1066"/>
      <c r="W253" s="1066"/>
      <c r="X253" s="1066"/>
      <c r="Y253" s="1066"/>
      <c r="Z253" s="1066"/>
      <c r="AA253" s="1066"/>
      <c r="AB253" s="1066"/>
      <c r="AC253" s="1066"/>
      <c r="AD253" s="1066"/>
      <c r="AE253" s="1066"/>
      <c r="AF253" s="1066"/>
      <c r="AG253" s="1066"/>
      <c r="AH253" s="1066"/>
      <c r="AI253" s="1066"/>
      <c r="AJ253" s="1066"/>
      <c r="AK253" s="1066"/>
      <c r="AL253" s="1066"/>
      <c r="AM253" s="1066"/>
      <c r="AN253" s="1066"/>
      <c r="AO253" s="1066"/>
      <c r="AP253" s="1066"/>
      <c r="AQ253" s="1066"/>
    </row>
    <row r="254" spans="2:43" ht="15.75" customHeight="1" outlineLevel="1">
      <c r="B254" s="573" t="s">
        <v>1559</v>
      </c>
      <c r="C254" s="5"/>
      <c r="F254" s="1457"/>
      <c r="G254" s="1066"/>
      <c r="H254" s="1066"/>
      <c r="I254" s="1066"/>
      <c r="J254" s="1066"/>
      <c r="K254" s="1066"/>
      <c r="L254" s="1066"/>
      <c r="M254" s="1066"/>
      <c r="N254" s="1066"/>
      <c r="O254" s="1066"/>
      <c r="P254" s="1066"/>
      <c r="Q254" s="1066"/>
      <c r="R254" s="1066"/>
      <c r="S254" s="1066"/>
      <c r="T254" s="1066"/>
      <c r="U254" s="1066"/>
      <c r="V254" s="1066"/>
      <c r="W254" s="1066"/>
      <c r="X254" s="1066"/>
      <c r="Y254" s="1066"/>
      <c r="Z254" s="1066"/>
      <c r="AA254" s="1066"/>
      <c r="AB254" s="1066"/>
      <c r="AC254" s="1066"/>
      <c r="AD254" s="1066"/>
      <c r="AE254" s="1066"/>
      <c r="AF254" s="1066"/>
      <c r="AG254" s="1066"/>
      <c r="AH254" s="1066"/>
      <c r="AI254" s="1066"/>
      <c r="AJ254" s="1066"/>
      <c r="AK254" s="1066"/>
      <c r="AL254" s="1066"/>
      <c r="AM254" s="1066"/>
      <c r="AN254" s="1066"/>
      <c r="AO254" s="1066"/>
      <c r="AP254" s="1066"/>
      <c r="AQ254" s="1066"/>
    </row>
    <row r="255" spans="2:43">
      <c r="F255" s="1456"/>
    </row>
    <row r="256" spans="2:43">
      <c r="F256" s="1456"/>
    </row>
    <row r="257" spans="2:12">
      <c r="F257" s="1456"/>
    </row>
    <row r="258" spans="2:12">
      <c r="F258" s="1456"/>
    </row>
    <row r="261" spans="2:12" hidden="1">
      <c r="B261" s="5" t="s">
        <v>1557</v>
      </c>
    </row>
    <row r="262" spans="2:12" ht="15" hidden="1" customHeight="1">
      <c r="B262" s="586" t="s">
        <v>635</v>
      </c>
      <c r="C262" s="584" t="s">
        <v>636</v>
      </c>
      <c r="D262" s="593" t="s">
        <v>1536</v>
      </c>
      <c r="E262" s="575"/>
      <c r="F262" s="1382"/>
      <c r="G262" s="1382"/>
      <c r="H262" s="1382"/>
      <c r="I262" s="1382"/>
      <c r="J262" s="1382"/>
      <c r="K262" s="1382"/>
      <c r="L262" s="1382"/>
    </row>
    <row r="263" spans="2:12" ht="15" hidden="1" customHeight="1">
      <c r="B263" s="586" t="s">
        <v>12</v>
      </c>
      <c r="C263" s="587" t="s">
        <v>638</v>
      </c>
      <c r="D263" s="588"/>
      <c r="E263" s="1377"/>
      <c r="F263" s="1428" t="s">
        <v>12</v>
      </c>
      <c r="G263" s="1382"/>
      <c r="H263" s="1382"/>
      <c r="I263" s="1382"/>
      <c r="J263" s="1382"/>
      <c r="K263" s="1382"/>
      <c r="L263" s="1382"/>
    </row>
    <row r="264" spans="2:12" ht="15" hidden="1" customHeight="1">
      <c r="B264" s="590" t="s">
        <v>585</v>
      </c>
      <c r="C264" s="591"/>
      <c r="D264" s="591"/>
      <c r="E264" s="591"/>
      <c r="F264" s="1429" t="s">
        <v>567</v>
      </c>
      <c r="G264" s="1382"/>
      <c r="H264" s="1382"/>
      <c r="I264" s="1382"/>
      <c r="J264" s="1382"/>
      <c r="K264" s="1382"/>
      <c r="L264" s="1382"/>
    </row>
    <row r="265" spans="2:12" ht="15" hidden="1" customHeight="1">
      <c r="B265" s="590" t="s">
        <v>616</v>
      </c>
      <c r="C265" s="591"/>
      <c r="D265" s="585" t="s">
        <v>12</v>
      </c>
      <c r="E265" s="592"/>
      <c r="F265" s="1430" t="s">
        <v>583</v>
      </c>
      <c r="G265" s="1382"/>
      <c r="H265" s="1382"/>
      <c r="I265" s="1382"/>
      <c r="J265" s="1382"/>
      <c r="K265" s="1382"/>
      <c r="L265" s="1382"/>
    </row>
    <row r="266" spans="2:12" ht="15" hidden="1" customHeight="1">
      <c r="B266" s="590" t="s">
        <v>620</v>
      </c>
      <c r="C266" s="591"/>
      <c r="D266" s="593" t="s">
        <v>640</v>
      </c>
      <c r="E266" s="582">
        <v>0.5</v>
      </c>
      <c r="F266" s="1382"/>
      <c r="G266" s="1382"/>
      <c r="H266" s="1382"/>
      <c r="I266" s="1382"/>
      <c r="J266" s="1382"/>
      <c r="K266" s="1382"/>
      <c r="L266" s="1382"/>
    </row>
    <row r="267" spans="2:12" ht="15" hidden="1" customHeight="1">
      <c r="B267" s="590" t="s">
        <v>624</v>
      </c>
      <c r="C267" s="591"/>
      <c r="D267" s="593" t="s">
        <v>641</v>
      </c>
      <c r="E267" s="582">
        <v>0.05</v>
      </c>
      <c r="F267" s="1382"/>
      <c r="G267" s="1382"/>
      <c r="H267" s="1382"/>
      <c r="I267" s="1382"/>
      <c r="J267" s="1382"/>
      <c r="K267" s="1382"/>
      <c r="L267" s="1382"/>
    </row>
    <row r="268" spans="2:12" ht="15" hidden="1" customHeight="1">
      <c r="B268" s="594" t="s">
        <v>630</v>
      </c>
      <c r="C268" s="595"/>
      <c r="D268" s="596" t="s">
        <v>642</v>
      </c>
      <c r="E268" s="1384">
        <v>0.5</v>
      </c>
      <c r="F268" s="1382"/>
      <c r="G268" s="1382"/>
      <c r="H268" s="1382"/>
      <c r="I268" s="1382"/>
      <c r="J268" s="1382"/>
      <c r="K268" s="1382"/>
      <c r="L268" s="1382"/>
    </row>
    <row r="269" spans="2:12" ht="15" hidden="1" customHeight="1">
      <c r="B269" s="597" t="s">
        <v>631</v>
      </c>
      <c r="C269" s="591"/>
      <c r="D269" s="591"/>
      <c r="E269" s="591"/>
      <c r="F269" s="1382"/>
      <c r="G269" s="1382"/>
      <c r="H269" s="1382"/>
      <c r="I269" s="1382"/>
      <c r="J269" s="1382"/>
      <c r="K269" s="1382"/>
      <c r="L269" s="1382"/>
    </row>
    <row r="270" spans="2:12" hidden="1"/>
  </sheetData>
  <sheetProtection selectLockedCells="1"/>
  <mergeCells count="23">
    <mergeCell ref="G197:K201"/>
    <mergeCell ref="F197:F201"/>
    <mergeCell ref="F74:G74"/>
    <mergeCell ref="F115:G115"/>
    <mergeCell ref="F154:G154"/>
    <mergeCell ref="F176:G176"/>
    <mergeCell ref="B194:I194"/>
    <mergeCell ref="F202:G202"/>
    <mergeCell ref="D251:E251"/>
    <mergeCell ref="D250:E250"/>
    <mergeCell ref="A8:L8"/>
    <mergeCell ref="B218:C218"/>
    <mergeCell ref="B214:C214"/>
    <mergeCell ref="B216:C216"/>
    <mergeCell ref="B217:C217"/>
    <mergeCell ref="B210:C210"/>
    <mergeCell ref="B211:C211"/>
    <mergeCell ref="B212:C212"/>
    <mergeCell ref="B213:C213"/>
    <mergeCell ref="J217:O217"/>
    <mergeCell ref="F14:G14"/>
    <mergeCell ref="F47:G47"/>
    <mergeCell ref="B209:C209"/>
  </mergeCells>
  <hyperlinks>
    <hyperlink ref="B254:E254" r:id="rId1" display="VCS - VM0015 - Methodology for Avoided Unplanned Deforestation, V1.1" xr:uid="{00000000-0004-0000-0D00-000000000000}"/>
  </hyperlinks>
  <pageMargins left="0.511811024" right="0.511811024" top="0.78740157499999996" bottom="0.78740157499999996" header="0.31496062000000002" footer="0.31496062000000002"/>
  <pageSetup paperSize="9" orientation="portrait" r:id="rId2"/>
  <drawing r:id="rId3"/>
  <legacyDrawing r:id="rId4"/>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6F6F6E"/>
  </sheetPr>
  <dimension ref="A3:A21"/>
  <sheetViews>
    <sheetView showGridLines="0" zoomScale="85" zoomScaleNormal="85" zoomScalePageLayoutView="85" workbookViewId="0">
      <selection activeCell="D17" sqref="D17"/>
    </sheetView>
  </sheetViews>
  <sheetFormatPr defaultColWidth="8.88671875" defaultRowHeight="13.8"/>
  <cols>
    <col min="1" max="1" width="8.88671875" style="1052"/>
    <col min="2" max="2" width="26.109375" style="1052" customWidth="1"/>
    <col min="3" max="3" width="11.6640625" style="1052" customWidth="1"/>
    <col min="4" max="4" width="17.109375" style="1052" customWidth="1"/>
    <col min="5" max="5" width="16.44140625" style="1052" customWidth="1"/>
    <col min="6" max="43" width="10.6640625" style="1052" customWidth="1"/>
    <col min="44" max="257" width="8.88671875" style="1052"/>
    <col min="258" max="258" width="26.109375" style="1052" customWidth="1"/>
    <col min="259" max="259" width="11.6640625" style="1052" customWidth="1"/>
    <col min="260" max="260" width="36.44140625" style="1052" customWidth="1"/>
    <col min="261" max="261" width="16.44140625" style="1052" customWidth="1"/>
    <col min="262" max="299" width="10.6640625" style="1052" customWidth="1"/>
    <col min="300" max="513" width="8.88671875" style="1052"/>
    <col min="514" max="514" width="26.109375" style="1052" customWidth="1"/>
    <col min="515" max="515" width="11.6640625" style="1052" customWidth="1"/>
    <col min="516" max="516" width="36.44140625" style="1052" customWidth="1"/>
    <col min="517" max="517" width="16.44140625" style="1052" customWidth="1"/>
    <col min="518" max="555" width="10.6640625" style="1052" customWidth="1"/>
    <col min="556" max="769" width="8.88671875" style="1052"/>
    <col min="770" max="770" width="26.109375" style="1052" customWidth="1"/>
    <col min="771" max="771" width="11.6640625" style="1052" customWidth="1"/>
    <col min="772" max="772" width="36.44140625" style="1052" customWidth="1"/>
    <col min="773" max="773" width="16.44140625" style="1052" customWidth="1"/>
    <col min="774" max="811" width="10.6640625" style="1052" customWidth="1"/>
    <col min="812" max="1025" width="8.88671875" style="1052"/>
    <col min="1026" max="1026" width="26.109375" style="1052" customWidth="1"/>
    <col min="1027" max="1027" width="11.6640625" style="1052" customWidth="1"/>
    <col min="1028" max="1028" width="36.44140625" style="1052" customWidth="1"/>
    <col min="1029" max="1029" width="16.44140625" style="1052" customWidth="1"/>
    <col min="1030" max="1067" width="10.6640625" style="1052" customWidth="1"/>
    <col min="1068" max="1281" width="8.88671875" style="1052"/>
    <col min="1282" max="1282" width="26.109375" style="1052" customWidth="1"/>
    <col min="1283" max="1283" width="11.6640625" style="1052" customWidth="1"/>
    <col min="1284" max="1284" width="36.44140625" style="1052" customWidth="1"/>
    <col min="1285" max="1285" width="16.44140625" style="1052" customWidth="1"/>
    <col min="1286" max="1323" width="10.6640625" style="1052" customWidth="1"/>
    <col min="1324" max="1537" width="8.88671875" style="1052"/>
    <col min="1538" max="1538" width="26.109375" style="1052" customWidth="1"/>
    <col min="1539" max="1539" width="11.6640625" style="1052" customWidth="1"/>
    <col min="1540" max="1540" width="36.44140625" style="1052" customWidth="1"/>
    <col min="1541" max="1541" width="16.44140625" style="1052" customWidth="1"/>
    <col min="1542" max="1579" width="10.6640625" style="1052" customWidth="1"/>
    <col min="1580" max="1793" width="8.88671875" style="1052"/>
    <col min="1794" max="1794" width="26.109375" style="1052" customWidth="1"/>
    <col min="1795" max="1795" width="11.6640625" style="1052" customWidth="1"/>
    <col min="1796" max="1796" width="36.44140625" style="1052" customWidth="1"/>
    <col min="1797" max="1797" width="16.44140625" style="1052" customWidth="1"/>
    <col min="1798" max="1835" width="10.6640625" style="1052" customWidth="1"/>
    <col min="1836" max="2049" width="8.88671875" style="1052"/>
    <col min="2050" max="2050" width="26.109375" style="1052" customWidth="1"/>
    <col min="2051" max="2051" width="11.6640625" style="1052" customWidth="1"/>
    <col min="2052" max="2052" width="36.44140625" style="1052" customWidth="1"/>
    <col min="2053" max="2053" width="16.44140625" style="1052" customWidth="1"/>
    <col min="2054" max="2091" width="10.6640625" style="1052" customWidth="1"/>
    <col min="2092" max="2305" width="8.88671875" style="1052"/>
    <col min="2306" max="2306" width="26.109375" style="1052" customWidth="1"/>
    <col min="2307" max="2307" width="11.6640625" style="1052" customWidth="1"/>
    <col min="2308" max="2308" width="36.44140625" style="1052" customWidth="1"/>
    <col min="2309" max="2309" width="16.44140625" style="1052" customWidth="1"/>
    <col min="2310" max="2347" width="10.6640625" style="1052" customWidth="1"/>
    <col min="2348" max="2561" width="8.88671875" style="1052"/>
    <col min="2562" max="2562" width="26.109375" style="1052" customWidth="1"/>
    <col min="2563" max="2563" width="11.6640625" style="1052" customWidth="1"/>
    <col min="2564" max="2564" width="36.44140625" style="1052" customWidth="1"/>
    <col min="2565" max="2565" width="16.44140625" style="1052" customWidth="1"/>
    <col min="2566" max="2603" width="10.6640625" style="1052" customWidth="1"/>
    <col min="2604" max="2817" width="8.88671875" style="1052"/>
    <col min="2818" max="2818" width="26.109375" style="1052" customWidth="1"/>
    <col min="2819" max="2819" width="11.6640625" style="1052" customWidth="1"/>
    <col min="2820" max="2820" width="36.44140625" style="1052" customWidth="1"/>
    <col min="2821" max="2821" width="16.44140625" style="1052" customWidth="1"/>
    <col min="2822" max="2859" width="10.6640625" style="1052" customWidth="1"/>
    <col min="2860" max="3073" width="8.88671875" style="1052"/>
    <col min="3074" max="3074" width="26.109375" style="1052" customWidth="1"/>
    <col min="3075" max="3075" width="11.6640625" style="1052" customWidth="1"/>
    <col min="3076" max="3076" width="36.44140625" style="1052" customWidth="1"/>
    <col min="3077" max="3077" width="16.44140625" style="1052" customWidth="1"/>
    <col min="3078" max="3115" width="10.6640625" style="1052" customWidth="1"/>
    <col min="3116" max="3329" width="8.88671875" style="1052"/>
    <col min="3330" max="3330" width="26.109375" style="1052" customWidth="1"/>
    <col min="3331" max="3331" width="11.6640625" style="1052" customWidth="1"/>
    <col min="3332" max="3332" width="36.44140625" style="1052" customWidth="1"/>
    <col min="3333" max="3333" width="16.44140625" style="1052" customWidth="1"/>
    <col min="3334" max="3371" width="10.6640625" style="1052" customWidth="1"/>
    <col min="3372" max="3585" width="8.88671875" style="1052"/>
    <col min="3586" max="3586" width="26.109375" style="1052" customWidth="1"/>
    <col min="3587" max="3587" width="11.6640625" style="1052" customWidth="1"/>
    <col min="3588" max="3588" width="36.44140625" style="1052" customWidth="1"/>
    <col min="3589" max="3589" width="16.44140625" style="1052" customWidth="1"/>
    <col min="3590" max="3627" width="10.6640625" style="1052" customWidth="1"/>
    <col min="3628" max="3841" width="8.88671875" style="1052"/>
    <col min="3842" max="3842" width="26.109375" style="1052" customWidth="1"/>
    <col min="3843" max="3843" width="11.6640625" style="1052" customWidth="1"/>
    <col min="3844" max="3844" width="36.44140625" style="1052" customWidth="1"/>
    <col min="3845" max="3845" width="16.44140625" style="1052" customWidth="1"/>
    <col min="3846" max="3883" width="10.6640625" style="1052" customWidth="1"/>
    <col min="3884" max="4097" width="8.88671875" style="1052"/>
    <col min="4098" max="4098" width="26.109375" style="1052" customWidth="1"/>
    <col min="4099" max="4099" width="11.6640625" style="1052" customWidth="1"/>
    <col min="4100" max="4100" width="36.44140625" style="1052" customWidth="1"/>
    <col min="4101" max="4101" width="16.44140625" style="1052" customWidth="1"/>
    <col min="4102" max="4139" width="10.6640625" style="1052" customWidth="1"/>
    <col min="4140" max="4353" width="8.88671875" style="1052"/>
    <col min="4354" max="4354" width="26.109375" style="1052" customWidth="1"/>
    <col min="4355" max="4355" width="11.6640625" style="1052" customWidth="1"/>
    <col min="4356" max="4356" width="36.44140625" style="1052" customWidth="1"/>
    <col min="4357" max="4357" width="16.44140625" style="1052" customWidth="1"/>
    <col min="4358" max="4395" width="10.6640625" style="1052" customWidth="1"/>
    <col min="4396" max="4609" width="8.88671875" style="1052"/>
    <col min="4610" max="4610" width="26.109375" style="1052" customWidth="1"/>
    <col min="4611" max="4611" width="11.6640625" style="1052" customWidth="1"/>
    <col min="4612" max="4612" width="36.44140625" style="1052" customWidth="1"/>
    <col min="4613" max="4613" width="16.44140625" style="1052" customWidth="1"/>
    <col min="4614" max="4651" width="10.6640625" style="1052" customWidth="1"/>
    <col min="4652" max="4865" width="8.88671875" style="1052"/>
    <col min="4866" max="4866" width="26.109375" style="1052" customWidth="1"/>
    <col min="4867" max="4867" width="11.6640625" style="1052" customWidth="1"/>
    <col min="4868" max="4868" width="36.44140625" style="1052" customWidth="1"/>
    <col min="4869" max="4869" width="16.44140625" style="1052" customWidth="1"/>
    <col min="4870" max="4907" width="10.6640625" style="1052" customWidth="1"/>
    <col min="4908" max="5121" width="8.88671875" style="1052"/>
    <col min="5122" max="5122" width="26.109375" style="1052" customWidth="1"/>
    <col min="5123" max="5123" width="11.6640625" style="1052" customWidth="1"/>
    <col min="5124" max="5124" width="36.44140625" style="1052" customWidth="1"/>
    <col min="5125" max="5125" width="16.44140625" style="1052" customWidth="1"/>
    <col min="5126" max="5163" width="10.6640625" style="1052" customWidth="1"/>
    <col min="5164" max="5377" width="8.88671875" style="1052"/>
    <col min="5378" max="5378" width="26.109375" style="1052" customWidth="1"/>
    <col min="5379" max="5379" width="11.6640625" style="1052" customWidth="1"/>
    <col min="5380" max="5380" width="36.44140625" style="1052" customWidth="1"/>
    <col min="5381" max="5381" width="16.44140625" style="1052" customWidth="1"/>
    <col min="5382" max="5419" width="10.6640625" style="1052" customWidth="1"/>
    <col min="5420" max="5633" width="8.88671875" style="1052"/>
    <col min="5634" max="5634" width="26.109375" style="1052" customWidth="1"/>
    <col min="5635" max="5635" width="11.6640625" style="1052" customWidth="1"/>
    <col min="5636" max="5636" width="36.44140625" style="1052" customWidth="1"/>
    <col min="5637" max="5637" width="16.44140625" style="1052" customWidth="1"/>
    <col min="5638" max="5675" width="10.6640625" style="1052" customWidth="1"/>
    <col min="5676" max="5889" width="8.88671875" style="1052"/>
    <col min="5890" max="5890" width="26.109375" style="1052" customWidth="1"/>
    <col min="5891" max="5891" width="11.6640625" style="1052" customWidth="1"/>
    <col min="5892" max="5892" width="36.44140625" style="1052" customWidth="1"/>
    <col min="5893" max="5893" width="16.44140625" style="1052" customWidth="1"/>
    <col min="5894" max="5931" width="10.6640625" style="1052" customWidth="1"/>
    <col min="5932" max="6145" width="8.88671875" style="1052"/>
    <col min="6146" max="6146" width="26.109375" style="1052" customWidth="1"/>
    <col min="6147" max="6147" width="11.6640625" style="1052" customWidth="1"/>
    <col min="6148" max="6148" width="36.44140625" style="1052" customWidth="1"/>
    <col min="6149" max="6149" width="16.44140625" style="1052" customWidth="1"/>
    <col min="6150" max="6187" width="10.6640625" style="1052" customWidth="1"/>
    <col min="6188" max="6401" width="8.88671875" style="1052"/>
    <col min="6402" max="6402" width="26.109375" style="1052" customWidth="1"/>
    <col min="6403" max="6403" width="11.6640625" style="1052" customWidth="1"/>
    <col min="6404" max="6404" width="36.44140625" style="1052" customWidth="1"/>
    <col min="6405" max="6405" width="16.44140625" style="1052" customWidth="1"/>
    <col min="6406" max="6443" width="10.6640625" style="1052" customWidth="1"/>
    <col min="6444" max="6657" width="8.88671875" style="1052"/>
    <col min="6658" max="6658" width="26.109375" style="1052" customWidth="1"/>
    <col min="6659" max="6659" width="11.6640625" style="1052" customWidth="1"/>
    <col min="6660" max="6660" width="36.44140625" style="1052" customWidth="1"/>
    <col min="6661" max="6661" width="16.44140625" style="1052" customWidth="1"/>
    <col min="6662" max="6699" width="10.6640625" style="1052" customWidth="1"/>
    <col min="6700" max="6913" width="8.88671875" style="1052"/>
    <col min="6914" max="6914" width="26.109375" style="1052" customWidth="1"/>
    <col min="6915" max="6915" width="11.6640625" style="1052" customWidth="1"/>
    <col min="6916" max="6916" width="36.44140625" style="1052" customWidth="1"/>
    <col min="6917" max="6917" width="16.44140625" style="1052" customWidth="1"/>
    <col min="6918" max="6955" width="10.6640625" style="1052" customWidth="1"/>
    <col min="6956" max="7169" width="8.88671875" style="1052"/>
    <col min="7170" max="7170" width="26.109375" style="1052" customWidth="1"/>
    <col min="7171" max="7171" width="11.6640625" style="1052" customWidth="1"/>
    <col min="7172" max="7172" width="36.44140625" style="1052" customWidth="1"/>
    <col min="7173" max="7173" width="16.44140625" style="1052" customWidth="1"/>
    <col min="7174" max="7211" width="10.6640625" style="1052" customWidth="1"/>
    <col min="7212" max="7425" width="8.88671875" style="1052"/>
    <col min="7426" max="7426" width="26.109375" style="1052" customWidth="1"/>
    <col min="7427" max="7427" width="11.6640625" style="1052" customWidth="1"/>
    <col min="7428" max="7428" width="36.44140625" style="1052" customWidth="1"/>
    <col min="7429" max="7429" width="16.44140625" style="1052" customWidth="1"/>
    <col min="7430" max="7467" width="10.6640625" style="1052" customWidth="1"/>
    <col min="7468" max="7681" width="8.88671875" style="1052"/>
    <col min="7682" max="7682" width="26.109375" style="1052" customWidth="1"/>
    <col min="7683" max="7683" width="11.6640625" style="1052" customWidth="1"/>
    <col min="7684" max="7684" width="36.44140625" style="1052" customWidth="1"/>
    <col min="7685" max="7685" width="16.44140625" style="1052" customWidth="1"/>
    <col min="7686" max="7723" width="10.6640625" style="1052" customWidth="1"/>
    <col min="7724" max="7937" width="8.88671875" style="1052"/>
    <col min="7938" max="7938" width="26.109375" style="1052" customWidth="1"/>
    <col min="7939" max="7939" width="11.6640625" style="1052" customWidth="1"/>
    <col min="7940" max="7940" width="36.44140625" style="1052" customWidth="1"/>
    <col min="7941" max="7941" width="16.44140625" style="1052" customWidth="1"/>
    <col min="7942" max="7979" width="10.6640625" style="1052" customWidth="1"/>
    <col min="7980" max="8193" width="8.88671875" style="1052"/>
    <col min="8194" max="8194" width="26.109375" style="1052" customWidth="1"/>
    <col min="8195" max="8195" width="11.6640625" style="1052" customWidth="1"/>
    <col min="8196" max="8196" width="36.44140625" style="1052" customWidth="1"/>
    <col min="8197" max="8197" width="16.44140625" style="1052" customWidth="1"/>
    <col min="8198" max="8235" width="10.6640625" style="1052" customWidth="1"/>
    <col min="8236" max="8449" width="8.88671875" style="1052"/>
    <col min="8450" max="8450" width="26.109375" style="1052" customWidth="1"/>
    <col min="8451" max="8451" width="11.6640625" style="1052" customWidth="1"/>
    <col min="8452" max="8452" width="36.44140625" style="1052" customWidth="1"/>
    <col min="8453" max="8453" width="16.44140625" style="1052" customWidth="1"/>
    <col min="8454" max="8491" width="10.6640625" style="1052" customWidth="1"/>
    <col min="8492" max="8705" width="8.88671875" style="1052"/>
    <col min="8706" max="8706" width="26.109375" style="1052" customWidth="1"/>
    <col min="8707" max="8707" width="11.6640625" style="1052" customWidth="1"/>
    <col min="8708" max="8708" width="36.44140625" style="1052" customWidth="1"/>
    <col min="8709" max="8709" width="16.44140625" style="1052" customWidth="1"/>
    <col min="8710" max="8747" width="10.6640625" style="1052" customWidth="1"/>
    <col min="8748" max="8961" width="8.88671875" style="1052"/>
    <col min="8962" max="8962" width="26.109375" style="1052" customWidth="1"/>
    <col min="8963" max="8963" width="11.6640625" style="1052" customWidth="1"/>
    <col min="8964" max="8964" width="36.44140625" style="1052" customWidth="1"/>
    <col min="8965" max="8965" width="16.44140625" style="1052" customWidth="1"/>
    <col min="8966" max="9003" width="10.6640625" style="1052" customWidth="1"/>
    <col min="9004" max="9217" width="8.88671875" style="1052"/>
    <col min="9218" max="9218" width="26.109375" style="1052" customWidth="1"/>
    <col min="9219" max="9219" width="11.6640625" style="1052" customWidth="1"/>
    <col min="9220" max="9220" width="36.44140625" style="1052" customWidth="1"/>
    <col min="9221" max="9221" width="16.44140625" style="1052" customWidth="1"/>
    <col min="9222" max="9259" width="10.6640625" style="1052" customWidth="1"/>
    <col min="9260" max="9473" width="8.88671875" style="1052"/>
    <col min="9474" max="9474" width="26.109375" style="1052" customWidth="1"/>
    <col min="9475" max="9475" width="11.6640625" style="1052" customWidth="1"/>
    <col min="9476" max="9476" width="36.44140625" style="1052" customWidth="1"/>
    <col min="9477" max="9477" width="16.44140625" style="1052" customWidth="1"/>
    <col min="9478" max="9515" width="10.6640625" style="1052" customWidth="1"/>
    <col min="9516" max="9729" width="8.88671875" style="1052"/>
    <col min="9730" max="9730" width="26.109375" style="1052" customWidth="1"/>
    <col min="9731" max="9731" width="11.6640625" style="1052" customWidth="1"/>
    <col min="9732" max="9732" width="36.44140625" style="1052" customWidth="1"/>
    <col min="9733" max="9733" width="16.44140625" style="1052" customWidth="1"/>
    <col min="9734" max="9771" width="10.6640625" style="1052" customWidth="1"/>
    <col min="9772" max="9985" width="8.88671875" style="1052"/>
    <col min="9986" max="9986" width="26.109375" style="1052" customWidth="1"/>
    <col min="9987" max="9987" width="11.6640625" style="1052" customWidth="1"/>
    <col min="9988" max="9988" width="36.44140625" style="1052" customWidth="1"/>
    <col min="9989" max="9989" width="16.44140625" style="1052" customWidth="1"/>
    <col min="9990" max="10027" width="10.6640625" style="1052" customWidth="1"/>
    <col min="10028" max="10241" width="8.88671875" style="1052"/>
    <col min="10242" max="10242" width="26.109375" style="1052" customWidth="1"/>
    <col min="10243" max="10243" width="11.6640625" style="1052" customWidth="1"/>
    <col min="10244" max="10244" width="36.44140625" style="1052" customWidth="1"/>
    <col min="10245" max="10245" width="16.44140625" style="1052" customWidth="1"/>
    <col min="10246" max="10283" width="10.6640625" style="1052" customWidth="1"/>
    <col min="10284" max="10497" width="8.88671875" style="1052"/>
    <col min="10498" max="10498" width="26.109375" style="1052" customWidth="1"/>
    <col min="10499" max="10499" width="11.6640625" style="1052" customWidth="1"/>
    <col min="10500" max="10500" width="36.44140625" style="1052" customWidth="1"/>
    <col min="10501" max="10501" width="16.44140625" style="1052" customWidth="1"/>
    <col min="10502" max="10539" width="10.6640625" style="1052" customWidth="1"/>
    <col min="10540" max="10753" width="8.88671875" style="1052"/>
    <col min="10754" max="10754" width="26.109375" style="1052" customWidth="1"/>
    <col min="10755" max="10755" width="11.6640625" style="1052" customWidth="1"/>
    <col min="10756" max="10756" width="36.44140625" style="1052" customWidth="1"/>
    <col min="10757" max="10757" width="16.44140625" style="1052" customWidth="1"/>
    <col min="10758" max="10795" width="10.6640625" style="1052" customWidth="1"/>
    <col min="10796" max="11009" width="8.88671875" style="1052"/>
    <col min="11010" max="11010" width="26.109375" style="1052" customWidth="1"/>
    <col min="11011" max="11011" width="11.6640625" style="1052" customWidth="1"/>
    <col min="11012" max="11012" width="36.44140625" style="1052" customWidth="1"/>
    <col min="11013" max="11013" width="16.44140625" style="1052" customWidth="1"/>
    <col min="11014" max="11051" width="10.6640625" style="1052" customWidth="1"/>
    <col min="11052" max="11265" width="8.88671875" style="1052"/>
    <col min="11266" max="11266" width="26.109375" style="1052" customWidth="1"/>
    <col min="11267" max="11267" width="11.6640625" style="1052" customWidth="1"/>
    <col min="11268" max="11268" width="36.44140625" style="1052" customWidth="1"/>
    <col min="11269" max="11269" width="16.44140625" style="1052" customWidth="1"/>
    <col min="11270" max="11307" width="10.6640625" style="1052" customWidth="1"/>
    <col min="11308" max="11521" width="8.88671875" style="1052"/>
    <col min="11522" max="11522" width="26.109375" style="1052" customWidth="1"/>
    <col min="11523" max="11523" width="11.6640625" style="1052" customWidth="1"/>
    <col min="11524" max="11524" width="36.44140625" style="1052" customWidth="1"/>
    <col min="11525" max="11525" width="16.44140625" style="1052" customWidth="1"/>
    <col min="11526" max="11563" width="10.6640625" style="1052" customWidth="1"/>
    <col min="11564" max="11777" width="8.88671875" style="1052"/>
    <col min="11778" max="11778" width="26.109375" style="1052" customWidth="1"/>
    <col min="11779" max="11779" width="11.6640625" style="1052" customWidth="1"/>
    <col min="11780" max="11780" width="36.44140625" style="1052" customWidth="1"/>
    <col min="11781" max="11781" width="16.44140625" style="1052" customWidth="1"/>
    <col min="11782" max="11819" width="10.6640625" style="1052" customWidth="1"/>
    <col min="11820" max="12033" width="8.88671875" style="1052"/>
    <col min="12034" max="12034" width="26.109375" style="1052" customWidth="1"/>
    <col min="12035" max="12035" width="11.6640625" style="1052" customWidth="1"/>
    <col min="12036" max="12036" width="36.44140625" style="1052" customWidth="1"/>
    <col min="12037" max="12037" width="16.44140625" style="1052" customWidth="1"/>
    <col min="12038" max="12075" width="10.6640625" style="1052" customWidth="1"/>
    <col min="12076" max="12289" width="8.88671875" style="1052"/>
    <col min="12290" max="12290" width="26.109375" style="1052" customWidth="1"/>
    <col min="12291" max="12291" width="11.6640625" style="1052" customWidth="1"/>
    <col min="12292" max="12292" width="36.44140625" style="1052" customWidth="1"/>
    <col min="12293" max="12293" width="16.44140625" style="1052" customWidth="1"/>
    <col min="12294" max="12331" width="10.6640625" style="1052" customWidth="1"/>
    <col min="12332" max="12545" width="8.88671875" style="1052"/>
    <col min="12546" max="12546" width="26.109375" style="1052" customWidth="1"/>
    <col min="12547" max="12547" width="11.6640625" style="1052" customWidth="1"/>
    <col min="12548" max="12548" width="36.44140625" style="1052" customWidth="1"/>
    <col min="12549" max="12549" width="16.44140625" style="1052" customWidth="1"/>
    <col min="12550" max="12587" width="10.6640625" style="1052" customWidth="1"/>
    <col min="12588" max="12801" width="8.88671875" style="1052"/>
    <col min="12802" max="12802" width="26.109375" style="1052" customWidth="1"/>
    <col min="12803" max="12803" width="11.6640625" style="1052" customWidth="1"/>
    <col min="12804" max="12804" width="36.44140625" style="1052" customWidth="1"/>
    <col min="12805" max="12805" width="16.44140625" style="1052" customWidth="1"/>
    <col min="12806" max="12843" width="10.6640625" style="1052" customWidth="1"/>
    <col min="12844" max="13057" width="8.88671875" style="1052"/>
    <col min="13058" max="13058" width="26.109375" style="1052" customWidth="1"/>
    <col min="13059" max="13059" width="11.6640625" style="1052" customWidth="1"/>
    <col min="13060" max="13060" width="36.44140625" style="1052" customWidth="1"/>
    <col min="13061" max="13061" width="16.44140625" style="1052" customWidth="1"/>
    <col min="13062" max="13099" width="10.6640625" style="1052" customWidth="1"/>
    <col min="13100" max="13313" width="8.88671875" style="1052"/>
    <col min="13314" max="13314" width="26.109375" style="1052" customWidth="1"/>
    <col min="13315" max="13315" width="11.6640625" style="1052" customWidth="1"/>
    <col min="13316" max="13316" width="36.44140625" style="1052" customWidth="1"/>
    <col min="13317" max="13317" width="16.44140625" style="1052" customWidth="1"/>
    <col min="13318" max="13355" width="10.6640625" style="1052" customWidth="1"/>
    <col min="13356" max="13569" width="8.88671875" style="1052"/>
    <col min="13570" max="13570" width="26.109375" style="1052" customWidth="1"/>
    <col min="13571" max="13571" width="11.6640625" style="1052" customWidth="1"/>
    <col min="13572" max="13572" width="36.44140625" style="1052" customWidth="1"/>
    <col min="13573" max="13573" width="16.44140625" style="1052" customWidth="1"/>
    <col min="13574" max="13611" width="10.6640625" style="1052" customWidth="1"/>
    <col min="13612" max="13825" width="8.88671875" style="1052"/>
    <col min="13826" max="13826" width="26.109375" style="1052" customWidth="1"/>
    <col min="13827" max="13827" width="11.6640625" style="1052" customWidth="1"/>
    <col min="13828" max="13828" width="36.44140625" style="1052" customWidth="1"/>
    <col min="13829" max="13829" width="16.44140625" style="1052" customWidth="1"/>
    <col min="13830" max="13867" width="10.6640625" style="1052" customWidth="1"/>
    <col min="13868" max="14081" width="8.88671875" style="1052"/>
    <col min="14082" max="14082" width="26.109375" style="1052" customWidth="1"/>
    <col min="14083" max="14083" width="11.6640625" style="1052" customWidth="1"/>
    <col min="14084" max="14084" width="36.44140625" style="1052" customWidth="1"/>
    <col min="14085" max="14085" width="16.44140625" style="1052" customWidth="1"/>
    <col min="14086" max="14123" width="10.6640625" style="1052" customWidth="1"/>
    <col min="14124" max="14337" width="8.88671875" style="1052"/>
    <col min="14338" max="14338" width="26.109375" style="1052" customWidth="1"/>
    <col min="14339" max="14339" width="11.6640625" style="1052" customWidth="1"/>
    <col min="14340" max="14340" width="36.44140625" style="1052" customWidth="1"/>
    <col min="14341" max="14341" width="16.44140625" style="1052" customWidth="1"/>
    <col min="14342" max="14379" width="10.6640625" style="1052" customWidth="1"/>
    <col min="14380" max="14593" width="8.88671875" style="1052"/>
    <col min="14594" max="14594" width="26.109375" style="1052" customWidth="1"/>
    <col min="14595" max="14595" width="11.6640625" style="1052" customWidth="1"/>
    <col min="14596" max="14596" width="36.44140625" style="1052" customWidth="1"/>
    <col min="14597" max="14597" width="16.44140625" style="1052" customWidth="1"/>
    <col min="14598" max="14635" width="10.6640625" style="1052" customWidth="1"/>
    <col min="14636" max="14849" width="8.88671875" style="1052"/>
    <col min="14850" max="14850" width="26.109375" style="1052" customWidth="1"/>
    <col min="14851" max="14851" width="11.6640625" style="1052" customWidth="1"/>
    <col min="14852" max="14852" width="36.44140625" style="1052" customWidth="1"/>
    <col min="14853" max="14853" width="16.44140625" style="1052" customWidth="1"/>
    <col min="14854" max="14891" width="10.6640625" style="1052" customWidth="1"/>
    <col min="14892" max="15105" width="8.88671875" style="1052"/>
    <col min="15106" max="15106" width="26.109375" style="1052" customWidth="1"/>
    <col min="15107" max="15107" width="11.6640625" style="1052" customWidth="1"/>
    <col min="15108" max="15108" width="36.44140625" style="1052" customWidth="1"/>
    <col min="15109" max="15109" width="16.44140625" style="1052" customWidth="1"/>
    <col min="15110" max="15147" width="10.6640625" style="1052" customWidth="1"/>
    <col min="15148" max="15361" width="8.88671875" style="1052"/>
    <col min="15362" max="15362" width="26.109375" style="1052" customWidth="1"/>
    <col min="15363" max="15363" width="11.6640625" style="1052" customWidth="1"/>
    <col min="15364" max="15364" width="36.44140625" style="1052" customWidth="1"/>
    <col min="15365" max="15365" width="16.44140625" style="1052" customWidth="1"/>
    <col min="15366" max="15403" width="10.6640625" style="1052" customWidth="1"/>
    <col min="15404" max="15617" width="8.88671875" style="1052"/>
    <col min="15618" max="15618" width="26.109375" style="1052" customWidth="1"/>
    <col min="15619" max="15619" width="11.6640625" style="1052" customWidth="1"/>
    <col min="15620" max="15620" width="36.44140625" style="1052" customWidth="1"/>
    <col min="15621" max="15621" width="16.44140625" style="1052" customWidth="1"/>
    <col min="15622" max="15659" width="10.6640625" style="1052" customWidth="1"/>
    <col min="15660" max="15873" width="8.88671875" style="1052"/>
    <col min="15874" max="15874" width="26.109375" style="1052" customWidth="1"/>
    <col min="15875" max="15875" width="11.6640625" style="1052" customWidth="1"/>
    <col min="15876" max="15876" width="36.44140625" style="1052" customWidth="1"/>
    <col min="15877" max="15877" width="16.44140625" style="1052" customWidth="1"/>
    <col min="15878" max="15915" width="10.6640625" style="1052" customWidth="1"/>
    <col min="15916" max="16129" width="8.88671875" style="1052"/>
    <col min="16130" max="16130" width="26.109375" style="1052" customWidth="1"/>
    <col min="16131" max="16131" width="11.6640625" style="1052" customWidth="1"/>
    <col min="16132" max="16132" width="36.44140625" style="1052" customWidth="1"/>
    <col min="16133" max="16133" width="16.44140625" style="1052" customWidth="1"/>
    <col min="16134" max="16171" width="10.6640625" style="1052" customWidth="1"/>
    <col min="16172" max="16384" width="8.88671875" style="1052"/>
  </cols>
  <sheetData>
    <row r="3" ht="13.5" customHeight="1"/>
    <row r="4" ht="51" customHeight="1"/>
    <row r="5" ht="51" customHeight="1"/>
    <row r="6" ht="38.25" customHeight="1"/>
    <row r="7" ht="38.25" customHeight="1"/>
    <row r="8" ht="38.25" customHeight="1"/>
    <row r="9" ht="13.5" customHeight="1"/>
    <row r="10" ht="90.75" customHeight="1"/>
    <row r="13" s="1054" customFormat="1" ht="15.6"/>
    <row r="21" ht="27" customHeight="1"/>
  </sheetData>
  <pageMargins left="0.78740157499999996" right="0.78740157499999996" top="0.984251969" bottom="0.984251969" header="0.5" footer="0.5"/>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3978"/>
  </sheetPr>
  <dimension ref="A6:BI284"/>
  <sheetViews>
    <sheetView showGridLines="0" zoomScale="90" zoomScaleNormal="90" workbookViewId="0">
      <selection activeCell="E64" sqref="E64"/>
    </sheetView>
  </sheetViews>
  <sheetFormatPr defaultColWidth="8.88671875" defaultRowHeight="14.4" outlineLevelRow="2"/>
  <cols>
    <col min="1" max="1" width="2.88671875" style="5" customWidth="1"/>
    <col min="2" max="2" width="1.6640625" style="5" customWidth="1"/>
    <col min="3" max="3" width="11.6640625" style="5" customWidth="1"/>
    <col min="4" max="4" width="13.6640625" style="5" customWidth="1"/>
    <col min="5" max="5" width="14.6640625" style="5" customWidth="1"/>
    <col min="6" max="6" width="12" style="5" customWidth="1"/>
    <col min="7" max="7" width="11.44140625" style="5" customWidth="1"/>
    <col min="8" max="8" width="11.88671875" style="5" customWidth="1"/>
    <col min="9" max="9" width="11.6640625" style="5" customWidth="1"/>
    <col min="10" max="10" width="12.6640625" style="5" customWidth="1"/>
    <col min="11" max="11" width="12.44140625" style="5" customWidth="1"/>
    <col min="12" max="12" width="11" style="5" customWidth="1"/>
    <col min="13" max="13" width="13.88671875" style="5" customWidth="1"/>
    <col min="14" max="14" width="14.6640625" style="5" customWidth="1"/>
    <col min="15" max="15" width="11.44140625" style="5" bestFit="1" customWidth="1"/>
    <col min="16" max="16" width="8.88671875" style="5" customWidth="1"/>
    <col min="17" max="17" width="6" style="5" customWidth="1"/>
    <col min="18" max="18" width="5.6640625" style="5" customWidth="1"/>
    <col min="19" max="19" width="10.44140625" style="5" customWidth="1"/>
    <col min="20" max="30" width="5.6640625" style="5" customWidth="1"/>
    <col min="31" max="31" width="27.33203125" style="451" bestFit="1" customWidth="1"/>
    <col min="32" max="32" width="18.44140625" style="451" customWidth="1"/>
    <col min="33" max="33" width="33.33203125" style="451" customWidth="1"/>
    <col min="34" max="34" width="29" style="451" customWidth="1"/>
    <col min="35" max="37" width="13.6640625" style="451" customWidth="1"/>
    <col min="38" max="38" width="5.88671875" style="451" customWidth="1"/>
    <col min="39" max="39" width="19.109375" style="451" customWidth="1"/>
    <col min="40" max="40" width="16" style="451" bestFit="1" customWidth="1"/>
    <col min="41" max="41" width="8.88671875" style="5"/>
    <col min="42" max="42" width="9.109375" style="5" customWidth="1"/>
    <col min="43" max="47" width="8.88671875" style="5"/>
    <col min="48" max="48" width="27.44140625" style="5" customWidth="1"/>
    <col min="49" max="16384" width="8.88671875" style="5"/>
  </cols>
  <sheetData>
    <row r="6" spans="1:40" ht="15" thickBot="1"/>
    <row r="7" spans="1:40" s="215" customFormat="1" ht="18.75" customHeight="1" thickTop="1">
      <c r="A7" s="616"/>
      <c r="B7" s="1678" t="s">
        <v>1053</v>
      </c>
      <c r="C7" s="1679"/>
      <c r="D7" s="1679"/>
      <c r="E7" s="1679"/>
      <c r="F7" s="1679"/>
      <c r="G7" s="1679"/>
      <c r="H7" s="1679"/>
      <c r="I7" s="1679"/>
      <c r="J7" s="1679"/>
      <c r="K7" s="1679"/>
      <c r="L7" s="1679"/>
      <c r="M7" s="1679"/>
      <c r="N7" s="1679"/>
      <c r="O7" s="1679"/>
      <c r="P7" s="1679"/>
      <c r="Q7" s="1680"/>
      <c r="R7" s="616"/>
      <c r="S7" s="214"/>
      <c r="T7" s="214"/>
      <c r="U7" s="214"/>
      <c r="V7" s="214"/>
      <c r="W7" s="214"/>
      <c r="X7" s="214"/>
      <c r="Y7" s="214"/>
      <c r="Z7" s="214"/>
      <c r="AA7" s="214"/>
      <c r="AB7" s="214"/>
      <c r="AC7" s="214"/>
      <c r="AD7" s="214"/>
      <c r="AE7" s="617"/>
      <c r="AF7" s="617"/>
      <c r="AG7" s="617"/>
      <c r="AH7" s="617"/>
      <c r="AI7" s="617"/>
      <c r="AJ7" s="617"/>
      <c r="AK7" s="617"/>
      <c r="AL7" s="617"/>
      <c r="AM7" s="617"/>
      <c r="AN7" s="617"/>
    </row>
    <row r="8" spans="1:40">
      <c r="B8" s="6"/>
      <c r="C8" s="7"/>
      <c r="D8" s="7"/>
      <c r="E8" s="7"/>
      <c r="F8" s="7"/>
      <c r="G8" s="7"/>
      <c r="H8" s="7"/>
      <c r="I8" s="7"/>
      <c r="J8" s="7"/>
      <c r="K8" s="7"/>
      <c r="L8" s="7"/>
      <c r="M8" s="7"/>
      <c r="N8" s="7"/>
      <c r="O8" s="7"/>
      <c r="P8" s="7"/>
      <c r="Q8" s="8"/>
    </row>
    <row r="9" spans="1:40" ht="15.6">
      <c r="B9" s="6"/>
      <c r="C9" s="7"/>
      <c r="D9" s="7"/>
      <c r="E9" s="7"/>
      <c r="F9" s="183" t="s">
        <v>1522</v>
      </c>
      <c r="G9" s="7"/>
      <c r="H9" s="7"/>
      <c r="I9" s="7"/>
      <c r="J9" s="7"/>
      <c r="K9" s="7"/>
      <c r="L9" s="7"/>
      <c r="M9" s="7"/>
      <c r="N9" s="7"/>
      <c r="O9" s="7"/>
      <c r="P9" s="7"/>
      <c r="Q9" s="8"/>
      <c r="AE9" s="1173"/>
      <c r="AF9" s="1173"/>
      <c r="AG9" s="1173"/>
      <c r="AH9" s="1173"/>
      <c r="AI9" s="1173"/>
      <c r="AJ9" s="1173"/>
      <c r="AK9" s="1173"/>
      <c r="AL9" s="1173"/>
      <c r="AM9" s="1173"/>
      <c r="AN9" s="1173"/>
    </row>
    <row r="10" spans="1:40" ht="29.25" customHeight="1">
      <c r="B10" s="6"/>
      <c r="D10" s="1169"/>
      <c r="E10" s="1169"/>
      <c r="F10" s="1888" t="s">
        <v>1677</v>
      </c>
      <c r="G10" s="1888"/>
      <c r="H10" s="1888"/>
      <c r="I10" s="1888"/>
      <c r="J10" s="1888"/>
      <c r="K10" s="1888"/>
      <c r="L10" s="1888"/>
      <c r="M10" s="1888"/>
      <c r="N10" s="1888"/>
      <c r="O10" s="1888"/>
      <c r="P10" s="1888"/>
      <c r="Q10" s="1895"/>
    </row>
    <row r="11" spans="1:40">
      <c r="B11" s="6"/>
      <c r="C11" s="205"/>
      <c r="D11" s="205"/>
      <c r="E11" s="205"/>
      <c r="F11" s="205"/>
      <c r="G11" s="205"/>
      <c r="H11" s="205"/>
      <c r="I11" s="205"/>
      <c r="J11" s="205"/>
      <c r="K11" s="205"/>
      <c r="L11" s="342"/>
      <c r="M11" s="342"/>
      <c r="N11" s="7"/>
      <c r="O11" s="7"/>
      <c r="P11" s="7"/>
      <c r="Q11" s="8"/>
    </row>
    <row r="12" spans="1:40" ht="15.6">
      <c r="B12" s="6"/>
      <c r="C12" s="1102" t="s">
        <v>1105</v>
      </c>
      <c r="D12" s="7"/>
      <c r="E12" s="7"/>
      <c r="F12" s="7"/>
      <c r="G12" s="7"/>
      <c r="H12" s="7"/>
      <c r="I12" s="7"/>
      <c r="J12" s="7"/>
      <c r="K12" s="7"/>
      <c r="L12" s="7"/>
      <c r="M12" s="7"/>
      <c r="N12" s="7"/>
      <c r="O12" s="7"/>
      <c r="P12" s="7"/>
      <c r="Q12" s="8"/>
    </row>
    <row r="13" spans="1:40" outlineLevel="1">
      <c r="B13" s="6"/>
      <c r="C13" s="618" t="s">
        <v>1116</v>
      </c>
      <c r="D13" s="7"/>
      <c r="E13" s="7"/>
      <c r="F13" s="7"/>
      <c r="G13" s="7"/>
      <c r="H13" s="7"/>
      <c r="I13" s="7"/>
      <c r="J13" s="7"/>
      <c r="K13" s="7"/>
      <c r="L13" s="7"/>
      <c r="M13" s="7"/>
      <c r="N13" s="7"/>
      <c r="O13" s="7"/>
      <c r="P13" s="7"/>
      <c r="Q13" s="8"/>
    </row>
    <row r="14" spans="1:40" ht="29.25" customHeight="1" outlineLevel="1">
      <c r="B14" s="6"/>
      <c r="C14" s="1922" t="s">
        <v>1693</v>
      </c>
      <c r="D14" s="1922"/>
      <c r="E14" s="1922"/>
      <c r="F14" s="1922"/>
      <c r="G14" s="1922"/>
      <c r="H14" s="1922"/>
      <c r="I14" s="1922"/>
      <c r="J14" s="1922"/>
      <c r="K14" s="1922"/>
      <c r="L14" s="1922"/>
      <c r="M14" s="1922"/>
      <c r="N14" s="1922"/>
      <c r="O14" s="1922"/>
      <c r="P14" s="1922"/>
      <c r="Q14" s="8"/>
    </row>
    <row r="15" spans="1:40" outlineLevel="1">
      <c r="B15" s="6"/>
      <c r="C15" s="619"/>
      <c r="D15" s="619"/>
      <c r="E15" s="619"/>
      <c r="F15" s="619"/>
      <c r="G15" s="619"/>
      <c r="H15" s="619"/>
      <c r="I15" s="619"/>
      <c r="J15" s="619"/>
      <c r="K15" s="619"/>
      <c r="L15" s="619"/>
      <c r="M15" s="619"/>
      <c r="N15" s="619"/>
      <c r="O15" s="7"/>
      <c r="P15" s="7"/>
      <c r="Q15" s="8"/>
    </row>
    <row r="16" spans="1:40" ht="15.6" outlineLevel="1">
      <c r="A16" s="8"/>
      <c r="B16" s="1736" t="s">
        <v>488</v>
      </c>
      <c r="C16" s="1737"/>
      <c r="D16" s="1737"/>
      <c r="E16" s="1737"/>
      <c r="F16" s="1737"/>
      <c r="G16" s="1737"/>
      <c r="H16" s="1737"/>
      <c r="I16" s="1737"/>
      <c r="J16" s="1737"/>
      <c r="K16" s="1737"/>
      <c r="L16" s="1737"/>
      <c r="M16" s="1737"/>
      <c r="N16" s="1737"/>
      <c r="O16" s="1737"/>
      <c r="P16" s="1737"/>
      <c r="Q16" s="1738"/>
    </row>
    <row r="17" spans="2:17" ht="16.2" outlineLevel="2" thickBot="1">
      <c r="B17" s="620"/>
      <c r="C17" s="576"/>
      <c r="D17" s="576"/>
      <c r="E17" s="576"/>
      <c r="F17" s="576"/>
      <c r="G17" s="576"/>
      <c r="H17" s="576"/>
      <c r="I17" s="576"/>
      <c r="J17" s="576"/>
      <c r="K17" s="576"/>
      <c r="L17" s="576"/>
      <c r="M17" s="576"/>
      <c r="N17" s="576"/>
      <c r="O17" s="621"/>
      <c r="P17" s="7"/>
      <c r="Q17" s="8"/>
    </row>
    <row r="18" spans="2:17" outlineLevel="2">
      <c r="B18" s="6"/>
      <c r="C18" s="7"/>
      <c r="D18" s="1091" t="s">
        <v>499</v>
      </c>
      <c r="E18" s="622"/>
      <c r="F18" s="622"/>
      <c r="G18" s="622"/>
      <c r="H18" s="622"/>
      <c r="I18" s="622"/>
      <c r="J18" s="622"/>
      <c r="K18" s="1564" t="s">
        <v>492</v>
      </c>
      <c r="L18" s="1564" t="s">
        <v>24</v>
      </c>
      <c r="M18" s="2006" t="s">
        <v>1069</v>
      </c>
      <c r="N18" s="2007"/>
      <c r="O18" s="7"/>
      <c r="P18" s="7"/>
      <c r="Q18" s="8"/>
    </row>
    <row r="19" spans="2:17" ht="15" customHeight="1" outlineLevel="2">
      <c r="B19" s="6"/>
      <c r="C19" s="7"/>
      <c r="D19" s="2001" t="s">
        <v>1401</v>
      </c>
      <c r="E19" s="1696"/>
      <c r="F19" s="1696"/>
      <c r="G19" s="1696"/>
      <c r="H19" s="1696"/>
      <c r="I19" s="1696"/>
      <c r="J19" s="1696"/>
      <c r="K19" s="1585" t="s">
        <v>12</v>
      </c>
      <c r="L19" s="569"/>
      <c r="M19" s="1931"/>
      <c r="N19" s="1932"/>
      <c r="O19" s="7"/>
      <c r="P19" s="7"/>
      <c r="Q19" s="8"/>
    </row>
    <row r="20" spans="2:17" outlineLevel="2">
      <c r="B20" s="6"/>
      <c r="C20" s="7"/>
      <c r="D20" s="1959" t="s">
        <v>1074</v>
      </c>
      <c r="E20" s="1960"/>
      <c r="F20" s="1960"/>
      <c r="G20" s="1960"/>
      <c r="H20" s="1960"/>
      <c r="I20" s="1960"/>
      <c r="J20" s="1960"/>
      <c r="K20" s="163"/>
      <c r="L20" s="569"/>
      <c r="M20" s="2002" t="str">
        <f>IF(K19="Outros","Se a cultura agrícola não for listada, é necessário preencher Pmcaj e GPpacaj.","")</f>
        <v/>
      </c>
      <c r="N20" s="2003"/>
      <c r="O20" s="7"/>
      <c r="P20" s="7"/>
      <c r="Q20" s="8"/>
    </row>
    <row r="21" spans="2:17" ht="15" customHeight="1" outlineLevel="2">
      <c r="B21" s="6"/>
      <c r="C21" s="7"/>
      <c r="D21" s="274" t="s">
        <v>1402</v>
      </c>
      <c r="E21" s="623"/>
      <c r="F21" s="623"/>
      <c r="G21" s="623"/>
      <c r="H21" s="623"/>
      <c r="I21" s="623"/>
      <c r="J21" s="623"/>
      <c r="K21" s="1529"/>
      <c r="L21" s="569" t="s">
        <v>1051</v>
      </c>
      <c r="M21" s="1923"/>
      <c r="N21" s="1924"/>
      <c r="O21" s="7"/>
      <c r="P21" s="7"/>
      <c r="Q21" s="8"/>
    </row>
    <row r="22" spans="2:17" outlineLevel="2">
      <c r="B22" s="625"/>
      <c r="C22" s="71"/>
      <c r="D22" s="1694" t="s">
        <v>0</v>
      </c>
      <c r="E22" s="1695"/>
      <c r="F22" s="1695"/>
      <c r="G22" s="1695"/>
      <c r="H22" s="1695"/>
      <c r="I22" s="1695"/>
      <c r="J22" s="1695"/>
      <c r="K22" s="1563"/>
      <c r="L22" s="1563"/>
      <c r="M22" s="1563"/>
      <c r="N22" s="626"/>
      <c r="O22" s="71"/>
      <c r="P22" s="7"/>
      <c r="Q22" s="8"/>
    </row>
    <row r="23" spans="2:17" outlineLevel="2">
      <c r="B23" s="625"/>
      <c r="C23" s="71"/>
      <c r="D23" s="2008" t="s">
        <v>1403</v>
      </c>
      <c r="E23" s="2009"/>
      <c r="F23" s="2009"/>
      <c r="G23" s="2009"/>
      <c r="H23" s="2009"/>
      <c r="I23" s="2009"/>
      <c r="J23" s="2009"/>
      <c r="K23" s="166"/>
      <c r="L23" s="627"/>
      <c r="M23" s="2004" t="str">
        <f>IF($K$20="","Se não souber, deixe em branco.","Preencha este campo")</f>
        <v>Se não souber, deixe em branco.</v>
      </c>
      <c r="N23" s="2005"/>
      <c r="O23" s="71"/>
      <c r="P23" s="7"/>
      <c r="Q23" s="8"/>
    </row>
    <row r="24" spans="2:17" ht="16.5" customHeight="1" outlineLevel="2">
      <c r="B24" s="625"/>
      <c r="C24" s="71"/>
      <c r="D24" s="150" t="s">
        <v>1404</v>
      </c>
      <c r="E24" s="628"/>
      <c r="F24" s="628"/>
      <c r="G24" s="628"/>
      <c r="H24" s="628"/>
      <c r="I24" s="628"/>
      <c r="J24" s="628"/>
      <c r="K24" s="163"/>
      <c r="L24" s="1586"/>
      <c r="M24" s="2004" t="str">
        <f>IF($K$20="","Se não souber, deixe em branco.","Preencha este campo")</f>
        <v>Se não souber, deixe em branco.</v>
      </c>
      <c r="N24" s="2005"/>
      <c r="O24" s="71"/>
      <c r="P24" s="7"/>
      <c r="Q24" s="8"/>
    </row>
    <row r="25" spans="2:17" ht="36" customHeight="1" outlineLevel="2">
      <c r="B25" s="625"/>
      <c r="C25" s="71"/>
      <c r="D25" s="2008" t="s">
        <v>1405</v>
      </c>
      <c r="E25" s="2009"/>
      <c r="F25" s="2009"/>
      <c r="G25" s="2009"/>
      <c r="H25" s="2009"/>
      <c r="I25" s="2009"/>
      <c r="J25" s="2009"/>
      <c r="K25" s="629"/>
      <c r="L25" s="629"/>
      <c r="M25" s="2010"/>
      <c r="N25" s="2011"/>
      <c r="O25" s="71"/>
      <c r="P25" s="7"/>
      <c r="Q25" s="8"/>
    </row>
    <row r="26" spans="2:17" ht="15.6" outlineLevel="2">
      <c r="B26" s="625"/>
      <c r="C26" s="630"/>
      <c r="D26" s="631" t="s">
        <v>1406</v>
      </c>
      <c r="E26" s="632"/>
      <c r="F26" s="632"/>
      <c r="G26" s="632"/>
      <c r="H26" s="632"/>
      <c r="I26" s="632"/>
      <c r="J26" s="632"/>
      <c r="K26" s="633"/>
      <c r="L26" s="624"/>
      <c r="M26" s="1923"/>
      <c r="N26" s="1924"/>
      <c r="O26" s="71"/>
      <c r="P26" s="7"/>
      <c r="Q26" s="8"/>
    </row>
    <row r="27" spans="2:17" ht="15.6" outlineLevel="2">
      <c r="B27" s="625"/>
      <c r="C27" s="630"/>
      <c r="D27" s="634" t="s">
        <v>1407</v>
      </c>
      <c r="E27" s="1562"/>
      <c r="F27" s="1562"/>
      <c r="G27" s="1562"/>
      <c r="H27" s="1562"/>
      <c r="I27" s="1562"/>
      <c r="J27" s="1562"/>
      <c r="K27" s="633"/>
      <c r="L27" s="635" t="s">
        <v>13</v>
      </c>
      <c r="M27" s="2012"/>
      <c r="N27" s="2013"/>
      <c r="O27" s="71"/>
      <c r="P27" s="7"/>
      <c r="Q27" s="8"/>
    </row>
    <row r="28" spans="2:17" ht="17.25" customHeight="1" outlineLevel="2">
      <c r="B28" s="625"/>
      <c r="C28" s="71"/>
      <c r="D28" s="1694" t="s">
        <v>1</v>
      </c>
      <c r="E28" s="1695"/>
      <c r="F28" s="1695"/>
      <c r="G28" s="1695"/>
      <c r="H28" s="1695"/>
      <c r="I28" s="1695"/>
      <c r="J28" s="1695"/>
      <c r="K28" s="636"/>
      <c r="L28" s="636"/>
      <c r="M28" s="636"/>
      <c r="N28" s="637"/>
      <c r="O28" s="71"/>
      <c r="P28" s="7"/>
      <c r="Q28" s="8"/>
    </row>
    <row r="29" spans="2:17" outlineLevel="2">
      <c r="B29" s="625"/>
      <c r="C29" s="71"/>
      <c r="D29" s="1729" t="s">
        <v>1694</v>
      </c>
      <c r="E29" s="1730"/>
      <c r="F29" s="1730"/>
      <c r="G29" s="1730"/>
      <c r="H29" s="1730"/>
      <c r="I29" s="1730"/>
      <c r="J29" s="1730"/>
      <c r="K29" s="624"/>
      <c r="L29" s="627"/>
      <c r="M29" s="638"/>
      <c r="N29" s="639"/>
      <c r="O29" s="71"/>
      <c r="P29" s="7"/>
      <c r="Q29" s="8"/>
    </row>
    <row r="30" spans="2:17" ht="15.6" outlineLevel="2">
      <c r="B30" s="625"/>
      <c r="C30" s="71"/>
      <c r="D30" s="631" t="s">
        <v>1406</v>
      </c>
      <c r="E30" s="632"/>
      <c r="F30" s="632"/>
      <c r="G30" s="632"/>
      <c r="H30" s="632"/>
      <c r="I30" s="632"/>
      <c r="J30" s="632"/>
      <c r="K30" s="1585"/>
      <c r="L30" s="624"/>
      <c r="M30" s="1931"/>
      <c r="N30" s="1932"/>
      <c r="O30" s="71"/>
      <c r="P30" s="7"/>
      <c r="Q30" s="8"/>
    </row>
    <row r="31" spans="2:17" ht="16.2" outlineLevel="2" thickBot="1">
      <c r="B31" s="625"/>
      <c r="C31" s="630"/>
      <c r="D31" s="1587" t="s">
        <v>1407</v>
      </c>
      <c r="E31" s="1588"/>
      <c r="F31" s="1588"/>
      <c r="G31" s="1588"/>
      <c r="H31" s="1588"/>
      <c r="I31" s="1588"/>
      <c r="J31" s="1588"/>
      <c r="K31" s="1590"/>
      <c r="L31" s="1589" t="s">
        <v>13</v>
      </c>
      <c r="M31" s="1948"/>
      <c r="N31" s="1949"/>
      <c r="O31" s="70"/>
      <c r="P31" s="7"/>
      <c r="Q31" s="8"/>
    </row>
    <row r="32" spans="2:17" outlineLevel="1">
      <c r="B32" s="6"/>
      <c r="C32" s="7"/>
      <c r="D32" s="7"/>
      <c r="E32" s="7"/>
      <c r="F32" s="7"/>
      <c r="G32" s="7"/>
      <c r="H32" s="7"/>
      <c r="I32" s="7"/>
      <c r="J32" s="7"/>
      <c r="K32" s="7"/>
      <c r="L32" s="7"/>
      <c r="M32" s="7"/>
      <c r="N32" s="7"/>
      <c r="O32" s="7"/>
      <c r="P32" s="7"/>
      <c r="Q32" s="8"/>
    </row>
    <row r="33" spans="1:40" s="9" customFormat="1" ht="15.6" outlineLevel="1">
      <c r="A33" s="17"/>
      <c r="B33" s="1722" t="s">
        <v>490</v>
      </c>
      <c r="C33" s="1723"/>
      <c r="D33" s="1723"/>
      <c r="E33" s="1723"/>
      <c r="F33" s="1723"/>
      <c r="G33" s="1723"/>
      <c r="H33" s="1723"/>
      <c r="I33" s="1723"/>
      <c r="J33" s="1723"/>
      <c r="K33" s="1723"/>
      <c r="L33" s="1723"/>
      <c r="M33" s="1723"/>
      <c r="N33" s="1723"/>
      <c r="O33" s="1723"/>
      <c r="P33" s="1723"/>
      <c r="Q33" s="1724"/>
      <c r="R33" s="641"/>
      <c r="S33" s="641"/>
      <c r="T33" s="641"/>
      <c r="U33" s="641"/>
      <c r="V33" s="641"/>
      <c r="W33" s="641"/>
      <c r="X33" s="641"/>
      <c r="Y33" s="641"/>
      <c r="AE33" s="451"/>
      <c r="AF33" s="451"/>
      <c r="AG33" s="451"/>
      <c r="AH33" s="451"/>
      <c r="AI33" s="451"/>
      <c r="AJ33" s="451"/>
      <c r="AK33" s="451"/>
      <c r="AL33" s="451"/>
      <c r="AM33" s="451"/>
      <c r="AN33" s="451"/>
    </row>
    <row r="34" spans="1:40" s="9" customFormat="1" ht="15.6" outlineLevel="1">
      <c r="B34" s="207"/>
      <c r="C34" s="208"/>
      <c r="D34" s="208"/>
      <c r="E34" s="208"/>
      <c r="F34" s="208"/>
      <c r="G34" s="208"/>
      <c r="H34" s="208"/>
      <c r="I34" s="208"/>
      <c r="J34" s="208"/>
      <c r="K34" s="208"/>
      <c r="L34" s="208"/>
      <c r="M34" s="208"/>
      <c r="N34" s="208"/>
      <c r="O34" s="208"/>
      <c r="P34" s="208"/>
      <c r="Q34" s="209"/>
      <c r="R34" s="641"/>
      <c r="S34" s="641"/>
      <c r="T34" s="641"/>
      <c r="U34" s="641"/>
      <c r="V34" s="641"/>
      <c r="W34" s="641"/>
      <c r="X34" s="641"/>
      <c r="Y34" s="641"/>
      <c r="AE34" s="451"/>
      <c r="AF34" s="451"/>
      <c r="AG34" s="451"/>
      <c r="AH34" s="451"/>
      <c r="AI34" s="451"/>
      <c r="AJ34" s="451"/>
      <c r="AK34" s="451"/>
      <c r="AL34" s="451"/>
      <c r="AM34" s="451"/>
      <c r="AN34" s="451"/>
    </row>
    <row r="35" spans="1:40" s="9" customFormat="1" ht="15.6" outlineLevel="1">
      <c r="B35" s="642"/>
      <c r="C35" s="93" t="s">
        <v>0</v>
      </c>
      <c r="D35" s="643"/>
      <c r="E35" s="643"/>
      <c r="F35" s="643"/>
      <c r="G35" s="643"/>
      <c r="H35" s="643"/>
      <c r="I35" s="643"/>
      <c r="J35" s="643"/>
      <c r="K35" s="643"/>
      <c r="L35" s="643"/>
      <c r="M35" s="643"/>
      <c r="N35" s="643"/>
      <c r="O35" s="643"/>
      <c r="P35" s="643"/>
      <c r="Q35" s="644"/>
      <c r="R35" s="641"/>
      <c r="S35" s="641"/>
      <c r="T35" s="641"/>
      <c r="U35" s="641"/>
      <c r="V35" s="641"/>
      <c r="W35" s="641"/>
      <c r="X35" s="641"/>
      <c r="Y35" s="641"/>
      <c r="AE35" s="451"/>
      <c r="AF35" s="451"/>
      <c r="AG35" s="451"/>
      <c r="AH35" s="451"/>
      <c r="AI35" s="451"/>
      <c r="AJ35" s="451"/>
      <c r="AK35" s="451"/>
      <c r="AL35" s="451"/>
      <c r="AM35" s="451"/>
      <c r="AN35" s="451"/>
    </row>
    <row r="36" spans="1:40" ht="15" outlineLevel="2" thickBot="1">
      <c r="B36" s="6"/>
      <c r="C36" s="645" t="s">
        <v>1408</v>
      </c>
      <c r="D36" s="643"/>
      <c r="E36" s="643"/>
      <c r="F36" s="643"/>
      <c r="G36" s="7"/>
      <c r="H36" s="7"/>
      <c r="I36" s="7"/>
      <c r="J36" s="7"/>
      <c r="K36" s="7"/>
      <c r="L36" s="7"/>
      <c r="M36" s="7"/>
      <c r="N36" s="7"/>
      <c r="O36" s="7"/>
      <c r="P36" s="7"/>
      <c r="Q36" s="8"/>
    </row>
    <row r="37" spans="1:40" ht="18" outlineLevel="2">
      <c r="B37" s="6"/>
      <c r="C37" s="1095" t="s">
        <v>1529</v>
      </c>
      <c r="D37" s="1260" t="str">
        <f>IFERROR('Apoio Regulação de Polinização'!O62,"-")</f>
        <v>-</v>
      </c>
      <c r="E37" s="1153"/>
      <c r="F37" s="7"/>
      <c r="G37" s="7"/>
      <c r="H37" s="7"/>
      <c r="I37" s="7"/>
      <c r="J37" s="7"/>
      <c r="K37" s="7"/>
      <c r="L37" s="7"/>
      <c r="M37" s="7"/>
      <c r="N37" s="7"/>
      <c r="O37" s="7"/>
      <c r="P37" s="7"/>
      <c r="Q37" s="8"/>
    </row>
    <row r="38" spans="1:40" ht="16.2" outlineLevel="2" thickBot="1">
      <c r="B38" s="6"/>
      <c r="C38" s="1097" t="s">
        <v>493</v>
      </c>
      <c r="D38" s="1249" t="str">
        <f>IF(D37="-","-",K25*K26*K21+K27)</f>
        <v>-</v>
      </c>
      <c r="E38" s="1261" t="s">
        <v>13</v>
      </c>
      <c r="F38" s="646"/>
      <c r="G38" s="7"/>
      <c r="H38" s="7"/>
      <c r="I38" s="7"/>
      <c r="J38" s="7"/>
      <c r="K38" s="7"/>
      <c r="L38" s="7"/>
      <c r="M38" s="7"/>
      <c r="N38" s="7"/>
      <c r="O38" s="7"/>
      <c r="P38" s="7"/>
      <c r="Q38" s="8"/>
    </row>
    <row r="39" spans="1:40" ht="15.6" outlineLevel="2">
      <c r="B39" s="6"/>
      <c r="C39" s="647"/>
      <c r="D39" s="648"/>
      <c r="E39" s="648"/>
      <c r="F39" s="649"/>
      <c r="G39" s="7"/>
      <c r="H39" s="7"/>
      <c r="I39" s="7"/>
      <c r="J39" s="7"/>
      <c r="K39" s="7"/>
      <c r="L39" s="7"/>
      <c r="M39" s="7"/>
      <c r="N39" s="7"/>
      <c r="O39" s="7"/>
      <c r="P39" s="7"/>
      <c r="Q39" s="8"/>
    </row>
    <row r="40" spans="1:40" ht="15.6" outlineLevel="2">
      <c r="B40" s="6"/>
      <c r="C40" s="650" t="s">
        <v>1153</v>
      </c>
      <c r="D40" s="7"/>
      <c r="E40" s="618"/>
      <c r="F40" s="618"/>
      <c r="G40" s="618"/>
      <c r="H40" s="618"/>
      <c r="I40" s="618"/>
      <c r="J40" s="618"/>
      <c r="K40" s="618"/>
      <c r="L40" s="618"/>
      <c r="M40" s="618"/>
      <c r="N40" s="618"/>
      <c r="O40" s="618"/>
      <c r="P40" s="7"/>
      <c r="Q40" s="8"/>
    </row>
    <row r="41" spans="1:40" ht="16.2" outlineLevel="2" thickBot="1">
      <c r="B41" s="6"/>
      <c r="C41" s="645" t="s">
        <v>1409</v>
      </c>
      <c r="D41" s="651"/>
      <c r="E41" s="618"/>
      <c r="F41" s="618"/>
      <c r="G41" s="618"/>
      <c r="H41" s="618"/>
      <c r="I41" s="618"/>
      <c r="J41" s="618"/>
      <c r="K41" s="618"/>
      <c r="L41" s="618"/>
      <c r="M41" s="618"/>
      <c r="N41" s="618"/>
      <c r="O41" s="652"/>
      <c r="P41" s="7"/>
      <c r="Q41" s="8"/>
    </row>
    <row r="42" spans="1:40" outlineLevel="2">
      <c r="B42" s="6"/>
      <c r="C42" s="1908" t="s">
        <v>1055</v>
      </c>
      <c r="D42" s="1912" t="s">
        <v>1054</v>
      </c>
      <c r="E42" s="1912"/>
      <c r="F42" s="1912"/>
      <c r="G42" s="1912"/>
      <c r="H42" s="1912"/>
      <c r="I42" s="1912"/>
      <c r="J42" s="1912"/>
      <c r="K42" s="1912"/>
      <c r="L42" s="1912"/>
      <c r="M42" s="1912"/>
      <c r="N42" s="1912"/>
      <c r="O42" s="1920" t="s">
        <v>1530</v>
      </c>
      <c r="P42" s="7"/>
      <c r="Q42" s="8"/>
    </row>
    <row r="43" spans="1:40" s="376" customFormat="1" outlineLevel="2">
      <c r="B43" s="653"/>
      <c r="C43" s="1909"/>
      <c r="D43" s="654" t="s">
        <v>1410</v>
      </c>
      <c r="E43" s="655">
        <v>1</v>
      </c>
      <c r="F43" s="655">
        <v>2</v>
      </c>
      <c r="G43" s="655">
        <v>3</v>
      </c>
      <c r="H43" s="655">
        <v>4</v>
      </c>
      <c r="I43" s="655">
        <v>5</v>
      </c>
      <c r="J43" s="655">
        <v>6</v>
      </c>
      <c r="K43" s="655">
        <v>7</v>
      </c>
      <c r="L43" s="655">
        <v>8</v>
      </c>
      <c r="M43" s="655">
        <v>9</v>
      </c>
      <c r="N43" s="655">
        <v>10</v>
      </c>
      <c r="O43" s="1921"/>
      <c r="P43" s="342"/>
      <c r="Q43" s="462"/>
      <c r="AE43" s="656"/>
      <c r="AF43" s="656"/>
      <c r="AG43" s="656"/>
      <c r="AH43" s="656"/>
      <c r="AI43" s="656"/>
      <c r="AJ43" s="656"/>
      <c r="AK43" s="656"/>
      <c r="AL43" s="656"/>
      <c r="AM43" s="656"/>
      <c r="AN43" s="656"/>
    </row>
    <row r="44" spans="1:40" ht="15" customHeight="1" outlineLevel="2">
      <c r="B44" s="6"/>
      <c r="C44" s="657"/>
      <c r="D44" s="658">
        <v>1</v>
      </c>
      <c r="E44" s="188"/>
      <c r="F44" s="188"/>
      <c r="G44" s="188"/>
      <c r="H44" s="188"/>
      <c r="I44" s="188"/>
      <c r="J44" s="188"/>
      <c r="K44" s="188"/>
      <c r="L44" s="188"/>
      <c r="M44" s="188"/>
      <c r="N44" s="188"/>
      <c r="O44" s="1262">
        <f t="shared" ref="O44:O53" si="0">SUM(E44:N44)</f>
        <v>0</v>
      </c>
      <c r="P44" s="7"/>
      <c r="Q44" s="8"/>
    </row>
    <row r="45" spans="1:40" ht="15" customHeight="1" outlineLevel="2">
      <c r="B45" s="6"/>
      <c r="C45" s="657"/>
      <c r="D45" s="658">
        <v>2</v>
      </c>
      <c r="E45" s="188"/>
      <c r="F45" s="188"/>
      <c r="G45" s="188"/>
      <c r="H45" s="188"/>
      <c r="I45" s="188"/>
      <c r="J45" s="188"/>
      <c r="K45" s="188"/>
      <c r="L45" s="188"/>
      <c r="M45" s="188"/>
      <c r="N45" s="188"/>
      <c r="O45" s="1262">
        <f t="shared" si="0"/>
        <v>0</v>
      </c>
      <c r="P45" s="7"/>
      <c r="Q45" s="8"/>
    </row>
    <row r="46" spans="1:40" ht="15" customHeight="1" outlineLevel="2">
      <c r="B46" s="6"/>
      <c r="C46" s="657"/>
      <c r="D46" s="658">
        <v>3</v>
      </c>
      <c r="E46" s="188"/>
      <c r="F46" s="188"/>
      <c r="G46" s="188"/>
      <c r="H46" s="188"/>
      <c r="I46" s="188"/>
      <c r="J46" s="188"/>
      <c r="K46" s="188"/>
      <c r="L46" s="188"/>
      <c r="M46" s="188"/>
      <c r="N46" s="188"/>
      <c r="O46" s="1262">
        <f t="shared" si="0"/>
        <v>0</v>
      </c>
      <c r="P46" s="7"/>
      <c r="Q46" s="8"/>
    </row>
    <row r="47" spans="1:40" ht="15" customHeight="1" outlineLevel="2">
      <c r="B47" s="6"/>
      <c r="C47" s="657"/>
      <c r="D47" s="658">
        <v>4</v>
      </c>
      <c r="E47" s="188"/>
      <c r="F47" s="188"/>
      <c r="G47" s="188"/>
      <c r="H47" s="188"/>
      <c r="I47" s="188"/>
      <c r="J47" s="188"/>
      <c r="K47" s="188"/>
      <c r="L47" s="188"/>
      <c r="M47" s="188"/>
      <c r="N47" s="188"/>
      <c r="O47" s="1262">
        <f t="shared" si="0"/>
        <v>0</v>
      </c>
      <c r="P47" s="7"/>
      <c r="Q47" s="8"/>
    </row>
    <row r="48" spans="1:40" ht="15" customHeight="1" outlineLevel="2">
      <c r="B48" s="6"/>
      <c r="C48" s="657"/>
      <c r="D48" s="658">
        <v>5</v>
      </c>
      <c r="E48" s="188"/>
      <c r="F48" s="188"/>
      <c r="G48" s="188"/>
      <c r="H48" s="188"/>
      <c r="I48" s="188"/>
      <c r="J48" s="188"/>
      <c r="K48" s="188"/>
      <c r="L48" s="188"/>
      <c r="M48" s="188"/>
      <c r="N48" s="188"/>
      <c r="O48" s="1262">
        <f t="shared" si="0"/>
        <v>0</v>
      </c>
      <c r="P48" s="7"/>
      <c r="Q48" s="8"/>
    </row>
    <row r="49" spans="2:40" ht="15" customHeight="1" outlineLevel="2">
      <c r="B49" s="6"/>
      <c r="C49" s="657"/>
      <c r="D49" s="658">
        <v>6</v>
      </c>
      <c r="E49" s="188"/>
      <c r="F49" s="188"/>
      <c r="G49" s="188"/>
      <c r="H49" s="188"/>
      <c r="I49" s="188"/>
      <c r="J49" s="188"/>
      <c r="K49" s="188"/>
      <c r="L49" s="188"/>
      <c r="M49" s="188"/>
      <c r="N49" s="188"/>
      <c r="O49" s="1262">
        <f t="shared" si="0"/>
        <v>0</v>
      </c>
      <c r="P49" s="7"/>
      <c r="Q49" s="8"/>
    </row>
    <row r="50" spans="2:40" ht="15" customHeight="1" outlineLevel="2">
      <c r="B50" s="6"/>
      <c r="C50" s="657"/>
      <c r="D50" s="658">
        <v>7</v>
      </c>
      <c r="E50" s="188"/>
      <c r="F50" s="188"/>
      <c r="G50" s="188"/>
      <c r="H50" s="188"/>
      <c r="I50" s="188"/>
      <c r="J50" s="188"/>
      <c r="K50" s="188"/>
      <c r="L50" s="188"/>
      <c r="M50" s="188"/>
      <c r="N50" s="188"/>
      <c r="O50" s="1262">
        <f t="shared" si="0"/>
        <v>0</v>
      </c>
      <c r="P50" s="7"/>
      <c r="Q50" s="8"/>
    </row>
    <row r="51" spans="2:40" ht="15" customHeight="1" outlineLevel="2">
      <c r="B51" s="6"/>
      <c r="C51" s="657"/>
      <c r="D51" s="658">
        <v>8</v>
      </c>
      <c r="E51" s="188"/>
      <c r="F51" s="188"/>
      <c r="G51" s="188"/>
      <c r="H51" s="188"/>
      <c r="I51" s="188"/>
      <c r="J51" s="188"/>
      <c r="K51" s="188"/>
      <c r="L51" s="188"/>
      <c r="M51" s="188"/>
      <c r="N51" s="188"/>
      <c r="O51" s="1262">
        <f t="shared" si="0"/>
        <v>0</v>
      </c>
      <c r="P51" s="7"/>
      <c r="Q51" s="8"/>
    </row>
    <row r="52" spans="2:40" ht="15" customHeight="1" outlineLevel="2">
      <c r="B52" s="6"/>
      <c r="C52" s="657"/>
      <c r="D52" s="658">
        <v>9</v>
      </c>
      <c r="E52" s="188"/>
      <c r="F52" s="188"/>
      <c r="G52" s="188"/>
      <c r="H52" s="188"/>
      <c r="I52" s="188"/>
      <c r="J52" s="188"/>
      <c r="K52" s="188"/>
      <c r="L52" s="188"/>
      <c r="M52" s="188"/>
      <c r="N52" s="188"/>
      <c r="O52" s="1262">
        <f t="shared" si="0"/>
        <v>0</v>
      </c>
      <c r="P52" s="7"/>
      <c r="Q52" s="8"/>
    </row>
    <row r="53" spans="2:40" ht="15" customHeight="1" outlineLevel="2" thickBot="1">
      <c r="B53" s="6"/>
      <c r="C53" s="659"/>
      <c r="D53" s="660">
        <v>10</v>
      </c>
      <c r="E53" s="661"/>
      <c r="F53" s="661"/>
      <c r="G53" s="661"/>
      <c r="H53" s="661"/>
      <c r="I53" s="661"/>
      <c r="J53" s="661"/>
      <c r="K53" s="661"/>
      <c r="L53" s="661"/>
      <c r="M53" s="661"/>
      <c r="N53" s="661"/>
      <c r="O53" s="1263">
        <f t="shared" si="0"/>
        <v>0</v>
      </c>
      <c r="P53" s="7"/>
      <c r="Q53" s="8"/>
    </row>
    <row r="54" spans="2:40" ht="16.2" outlineLevel="1" thickBot="1">
      <c r="B54" s="6"/>
      <c r="C54" s="1910" t="s">
        <v>1067</v>
      </c>
      <c r="D54" s="1911"/>
      <c r="E54" s="1900">
        <f>SUM(O44:O53)</f>
        <v>0</v>
      </c>
      <c r="F54" s="1900"/>
      <c r="G54" s="1901"/>
      <c r="H54" s="7"/>
      <c r="I54" s="7"/>
      <c r="J54" s="7"/>
      <c r="K54" s="7"/>
      <c r="L54" s="7"/>
      <c r="M54" s="7"/>
      <c r="N54" s="7"/>
      <c r="O54" s="7"/>
      <c r="P54" s="7"/>
      <c r="Q54" s="8"/>
    </row>
    <row r="55" spans="2:40" outlineLevel="1">
      <c r="B55" s="6"/>
      <c r="C55" s="7"/>
      <c r="D55" s="7"/>
      <c r="E55" s="7"/>
      <c r="F55" s="7"/>
      <c r="G55" s="7"/>
      <c r="H55" s="7"/>
      <c r="I55" s="7"/>
      <c r="J55" s="7"/>
      <c r="K55" s="7"/>
      <c r="L55" s="7"/>
      <c r="M55" s="7"/>
      <c r="N55" s="7"/>
      <c r="O55" s="7"/>
      <c r="P55" s="7"/>
      <c r="Q55" s="8"/>
    </row>
    <row r="56" spans="2:40" s="9" customFormat="1" ht="16.2" outlineLevel="1" thickBot="1">
      <c r="B56" s="642"/>
      <c r="C56" s="93" t="s">
        <v>1</v>
      </c>
      <c r="D56" s="643"/>
      <c r="E56" s="643"/>
      <c r="F56" s="643"/>
      <c r="G56" s="643"/>
      <c r="H56" s="643"/>
      <c r="I56" s="643"/>
      <c r="J56" s="643"/>
      <c r="K56" s="643"/>
      <c r="L56" s="643"/>
      <c r="M56" s="643"/>
      <c r="N56" s="643"/>
      <c r="O56" s="643"/>
      <c r="P56" s="643"/>
      <c r="Q56" s="644"/>
      <c r="R56" s="641"/>
      <c r="S56" s="641"/>
      <c r="T56" s="641"/>
      <c r="U56" s="641"/>
      <c r="V56" s="641"/>
      <c r="W56" s="641"/>
      <c r="X56" s="641"/>
      <c r="Y56" s="641"/>
      <c r="AE56" s="451"/>
      <c r="AF56" s="451"/>
      <c r="AG56" s="451"/>
      <c r="AH56" s="451"/>
      <c r="AI56" s="451"/>
      <c r="AJ56" s="451"/>
      <c r="AK56" s="451"/>
      <c r="AL56" s="451"/>
      <c r="AM56" s="451"/>
      <c r="AN56" s="451"/>
    </row>
    <row r="57" spans="2:40" ht="18" outlineLevel="2">
      <c r="B57" s="6"/>
      <c r="C57" s="1241" t="s">
        <v>1531</v>
      </c>
      <c r="D57" s="1264">
        <f>K29*K21</f>
        <v>0</v>
      </c>
      <c r="E57" s="1265"/>
      <c r="F57" s="662"/>
      <c r="G57" s="7"/>
      <c r="H57" s="7"/>
      <c r="I57" s="7"/>
      <c r="J57" s="7"/>
      <c r="K57" s="7"/>
      <c r="L57" s="7"/>
      <c r="M57" s="7"/>
      <c r="N57" s="7"/>
      <c r="O57" s="7"/>
      <c r="P57" s="7"/>
      <c r="Q57" s="8"/>
    </row>
    <row r="58" spans="2:40" ht="16.2" outlineLevel="2" thickBot="1">
      <c r="B58" s="6"/>
      <c r="C58" s="1237" t="s">
        <v>493</v>
      </c>
      <c r="D58" s="1266">
        <f>IFERROR(D57*K30*K21+K31,"")</f>
        <v>0</v>
      </c>
      <c r="E58" s="1267" t="s">
        <v>13</v>
      </c>
      <c r="F58" s="7"/>
      <c r="G58" s="7"/>
      <c r="H58" s="7"/>
      <c r="I58" s="7"/>
      <c r="J58" s="7"/>
      <c r="K58" s="7"/>
      <c r="L58" s="7"/>
      <c r="M58" s="7"/>
      <c r="N58" s="7"/>
      <c r="O58" s="7"/>
      <c r="P58" s="7"/>
      <c r="Q58" s="8"/>
    </row>
    <row r="59" spans="2:40" outlineLevel="2">
      <c r="B59" s="6"/>
      <c r="C59" s="663"/>
      <c r="D59" s="664"/>
      <c r="E59" s="665"/>
      <c r="F59" s="665"/>
      <c r="G59" s="7"/>
      <c r="H59" s="7"/>
      <c r="I59" s="7"/>
      <c r="J59" s="7"/>
      <c r="K59" s="7"/>
      <c r="L59" s="7"/>
      <c r="M59" s="7"/>
      <c r="N59" s="7"/>
      <c r="O59" s="7"/>
      <c r="P59" s="7"/>
      <c r="Q59" s="8"/>
    </row>
    <row r="60" spans="2:40" ht="15.6" outlineLevel="2">
      <c r="B60" s="6"/>
      <c r="C60" s="650" t="s">
        <v>1056</v>
      </c>
      <c r="D60" s="7"/>
      <c r="E60" s="7"/>
      <c r="F60" s="7"/>
      <c r="G60" s="7"/>
      <c r="H60" s="7"/>
      <c r="I60" s="7"/>
      <c r="J60" s="7"/>
      <c r="K60" s="7"/>
      <c r="L60" s="7"/>
      <c r="M60" s="7"/>
      <c r="N60" s="7"/>
      <c r="O60" s="7"/>
      <c r="P60" s="7"/>
      <c r="Q60" s="8"/>
    </row>
    <row r="61" spans="2:40" ht="16.2" outlineLevel="2" thickBot="1">
      <c r="B61" s="6"/>
      <c r="C61" s="666" t="s">
        <v>1411</v>
      </c>
      <c r="D61" s="667"/>
      <c r="E61" s="7"/>
      <c r="F61" s="7"/>
      <c r="G61" s="7"/>
      <c r="H61" s="7"/>
      <c r="I61" s="7"/>
      <c r="J61" s="7"/>
      <c r="K61" s="7"/>
      <c r="L61" s="7"/>
      <c r="M61" s="7"/>
      <c r="N61" s="7"/>
      <c r="O61" s="7"/>
      <c r="P61" s="7"/>
      <c r="Q61" s="8"/>
    </row>
    <row r="62" spans="2:40" ht="15" customHeight="1" outlineLevel="2">
      <c r="B62" s="6"/>
      <c r="C62" s="1908" t="s">
        <v>1055</v>
      </c>
      <c r="D62" s="1913" t="s">
        <v>1054</v>
      </c>
      <c r="E62" s="1913"/>
      <c r="F62" s="1913"/>
      <c r="G62" s="1913"/>
      <c r="H62" s="1913"/>
      <c r="I62" s="1913"/>
      <c r="J62" s="1913"/>
      <c r="K62" s="1913"/>
      <c r="L62" s="1913"/>
      <c r="M62" s="1913"/>
      <c r="N62" s="1913"/>
      <c r="O62" s="1914" t="s">
        <v>1530</v>
      </c>
      <c r="P62" s="7"/>
      <c r="Q62" s="8"/>
    </row>
    <row r="63" spans="2:40" outlineLevel="2">
      <c r="B63" s="6"/>
      <c r="C63" s="1909"/>
      <c r="D63" s="668" t="s">
        <v>1412</v>
      </c>
      <c r="E63" s="669">
        <v>1</v>
      </c>
      <c r="F63" s="669">
        <v>2</v>
      </c>
      <c r="G63" s="669">
        <v>3</v>
      </c>
      <c r="H63" s="669">
        <v>4</v>
      </c>
      <c r="I63" s="669">
        <v>5</v>
      </c>
      <c r="J63" s="669">
        <v>6</v>
      </c>
      <c r="K63" s="669">
        <v>7</v>
      </c>
      <c r="L63" s="669">
        <v>8</v>
      </c>
      <c r="M63" s="669">
        <v>9</v>
      </c>
      <c r="N63" s="669">
        <v>10</v>
      </c>
      <c r="O63" s="1915"/>
      <c r="P63" s="7"/>
      <c r="Q63" s="8"/>
    </row>
    <row r="64" spans="2:40" ht="15" customHeight="1" outlineLevel="2">
      <c r="B64" s="6"/>
      <c r="C64" s="657"/>
      <c r="D64" s="669">
        <v>1</v>
      </c>
      <c r="E64" s="188"/>
      <c r="F64" s="188"/>
      <c r="G64" s="188"/>
      <c r="H64" s="188"/>
      <c r="I64" s="188"/>
      <c r="J64" s="188"/>
      <c r="K64" s="188"/>
      <c r="L64" s="188"/>
      <c r="M64" s="188"/>
      <c r="N64" s="188"/>
      <c r="O64" s="1268">
        <f t="shared" ref="O64:O73" si="1">SUM(E64:N64)</f>
        <v>0</v>
      </c>
      <c r="P64" s="7"/>
      <c r="Q64" s="8"/>
    </row>
    <row r="65" spans="2:17" ht="15" customHeight="1" outlineLevel="2">
      <c r="B65" s="6"/>
      <c r="C65" s="657"/>
      <c r="D65" s="669">
        <v>2</v>
      </c>
      <c r="E65" s="188"/>
      <c r="F65" s="188"/>
      <c r="G65" s="188"/>
      <c r="H65" s="188"/>
      <c r="I65" s="188"/>
      <c r="J65" s="188"/>
      <c r="K65" s="188"/>
      <c r="L65" s="188"/>
      <c r="M65" s="188"/>
      <c r="N65" s="188"/>
      <c r="O65" s="1268">
        <f t="shared" si="1"/>
        <v>0</v>
      </c>
      <c r="P65" s="7"/>
      <c r="Q65" s="8"/>
    </row>
    <row r="66" spans="2:17" ht="15" customHeight="1" outlineLevel="2">
      <c r="B66" s="6"/>
      <c r="C66" s="657"/>
      <c r="D66" s="669">
        <v>3</v>
      </c>
      <c r="E66" s="188"/>
      <c r="F66" s="188"/>
      <c r="G66" s="188"/>
      <c r="H66" s="188"/>
      <c r="I66" s="188"/>
      <c r="J66" s="188"/>
      <c r="K66" s="188"/>
      <c r="L66" s="188"/>
      <c r="M66" s="188"/>
      <c r="N66" s="188"/>
      <c r="O66" s="1268">
        <f t="shared" si="1"/>
        <v>0</v>
      </c>
      <c r="P66" s="7"/>
      <c r="Q66" s="8"/>
    </row>
    <row r="67" spans="2:17" ht="15" customHeight="1" outlineLevel="2">
      <c r="B67" s="6"/>
      <c r="C67" s="657"/>
      <c r="D67" s="669">
        <v>4</v>
      </c>
      <c r="E67" s="188"/>
      <c r="F67" s="188"/>
      <c r="G67" s="188"/>
      <c r="H67" s="188"/>
      <c r="I67" s="188"/>
      <c r="J67" s="188"/>
      <c r="K67" s="188"/>
      <c r="L67" s="188"/>
      <c r="M67" s="188"/>
      <c r="N67" s="188"/>
      <c r="O67" s="1268">
        <f t="shared" si="1"/>
        <v>0</v>
      </c>
      <c r="P67" s="7"/>
      <c r="Q67" s="8"/>
    </row>
    <row r="68" spans="2:17" ht="15" customHeight="1" outlineLevel="2">
      <c r="B68" s="6"/>
      <c r="C68" s="657"/>
      <c r="D68" s="669">
        <v>5</v>
      </c>
      <c r="E68" s="188"/>
      <c r="F68" s="188"/>
      <c r="G68" s="188"/>
      <c r="H68" s="188"/>
      <c r="I68" s="188"/>
      <c r="J68" s="188"/>
      <c r="K68" s="188"/>
      <c r="L68" s="188"/>
      <c r="M68" s="188"/>
      <c r="N68" s="188"/>
      <c r="O68" s="1268">
        <f t="shared" si="1"/>
        <v>0</v>
      </c>
      <c r="P68" s="7"/>
      <c r="Q68" s="8"/>
    </row>
    <row r="69" spans="2:17" ht="15" customHeight="1" outlineLevel="2">
      <c r="B69" s="6"/>
      <c r="C69" s="657"/>
      <c r="D69" s="669">
        <v>6</v>
      </c>
      <c r="E69" s="188"/>
      <c r="F69" s="188"/>
      <c r="G69" s="188"/>
      <c r="H69" s="188"/>
      <c r="I69" s="188"/>
      <c r="J69" s="188"/>
      <c r="K69" s="188"/>
      <c r="L69" s="188"/>
      <c r="M69" s="188"/>
      <c r="N69" s="188"/>
      <c r="O69" s="1268">
        <f t="shared" si="1"/>
        <v>0</v>
      </c>
      <c r="P69" s="7"/>
      <c r="Q69" s="8"/>
    </row>
    <row r="70" spans="2:17" ht="15" customHeight="1" outlineLevel="2">
      <c r="B70" s="6"/>
      <c r="C70" s="657"/>
      <c r="D70" s="669">
        <v>7</v>
      </c>
      <c r="E70" s="188"/>
      <c r="F70" s="188"/>
      <c r="G70" s="188"/>
      <c r="H70" s="188"/>
      <c r="I70" s="188"/>
      <c r="J70" s="188"/>
      <c r="K70" s="188"/>
      <c r="L70" s="188"/>
      <c r="M70" s="188"/>
      <c r="N70" s="188"/>
      <c r="O70" s="1268">
        <f t="shared" si="1"/>
        <v>0</v>
      </c>
      <c r="P70" s="7"/>
      <c r="Q70" s="8"/>
    </row>
    <row r="71" spans="2:17" outlineLevel="2">
      <c r="B71" s="6"/>
      <c r="C71" s="657"/>
      <c r="D71" s="669">
        <v>8</v>
      </c>
      <c r="E71" s="188"/>
      <c r="F71" s="188"/>
      <c r="G71" s="188"/>
      <c r="H71" s="188"/>
      <c r="I71" s="188"/>
      <c r="J71" s="188"/>
      <c r="K71" s="188"/>
      <c r="L71" s="188"/>
      <c r="M71" s="188"/>
      <c r="N71" s="188"/>
      <c r="O71" s="1268">
        <f t="shared" si="1"/>
        <v>0</v>
      </c>
      <c r="P71" s="7"/>
      <c r="Q71" s="8"/>
    </row>
    <row r="72" spans="2:17" ht="15" customHeight="1" outlineLevel="2">
      <c r="B72" s="6"/>
      <c r="C72" s="657"/>
      <c r="D72" s="669">
        <v>9</v>
      </c>
      <c r="E72" s="188"/>
      <c r="F72" s="188"/>
      <c r="G72" s="188"/>
      <c r="H72" s="188"/>
      <c r="I72" s="188"/>
      <c r="J72" s="188"/>
      <c r="K72" s="188"/>
      <c r="L72" s="188"/>
      <c r="M72" s="188"/>
      <c r="N72" s="188"/>
      <c r="O72" s="1268">
        <f t="shared" si="1"/>
        <v>0</v>
      </c>
      <c r="P72" s="7"/>
      <c r="Q72" s="8"/>
    </row>
    <row r="73" spans="2:17" ht="15" customHeight="1" outlineLevel="2" thickBot="1">
      <c r="B73" s="6"/>
      <c r="C73" s="659"/>
      <c r="D73" s="670">
        <v>10</v>
      </c>
      <c r="E73" s="661"/>
      <c r="F73" s="661"/>
      <c r="G73" s="661"/>
      <c r="H73" s="661"/>
      <c r="I73" s="661"/>
      <c r="J73" s="661"/>
      <c r="K73" s="661"/>
      <c r="L73" s="661"/>
      <c r="M73" s="661"/>
      <c r="N73" s="661"/>
      <c r="O73" s="1269">
        <f t="shared" si="1"/>
        <v>0</v>
      </c>
      <c r="P73" s="7"/>
      <c r="Q73" s="8"/>
    </row>
    <row r="74" spans="2:17" ht="15" customHeight="1" outlineLevel="1" thickBot="1">
      <c r="B74" s="6"/>
      <c r="C74" s="1896" t="s">
        <v>1067</v>
      </c>
      <c r="D74" s="1897"/>
      <c r="E74" s="1898">
        <f>SUM(O64:O73)</f>
        <v>0</v>
      </c>
      <c r="F74" s="1898"/>
      <c r="G74" s="1899"/>
      <c r="H74" s="7"/>
      <c r="I74" s="7"/>
      <c r="J74" s="7"/>
      <c r="K74" s="7"/>
      <c r="L74" s="7"/>
      <c r="M74" s="7"/>
      <c r="N74" s="7"/>
      <c r="O74" s="7"/>
      <c r="P74" s="7"/>
      <c r="Q74" s="8"/>
    </row>
    <row r="75" spans="2:17" outlineLevel="1">
      <c r="B75" s="6"/>
      <c r="C75" s="7"/>
      <c r="D75" s="7"/>
      <c r="E75" s="7"/>
      <c r="F75" s="7"/>
      <c r="G75" s="7"/>
      <c r="H75" s="7"/>
      <c r="I75" s="7"/>
      <c r="J75" s="7"/>
      <c r="K75" s="7"/>
      <c r="L75" s="7"/>
      <c r="M75" s="7"/>
      <c r="N75" s="7"/>
      <c r="O75" s="7"/>
      <c r="P75" s="7"/>
      <c r="Q75" s="8"/>
    </row>
    <row r="76" spans="2:17" outlineLevel="1">
      <c r="B76" s="6"/>
      <c r="C76" s="7"/>
      <c r="D76" s="7"/>
      <c r="E76" s="7"/>
      <c r="F76" s="7"/>
      <c r="G76" s="7"/>
      <c r="H76" s="7"/>
      <c r="I76" s="7"/>
      <c r="J76" s="7"/>
      <c r="K76" s="7"/>
      <c r="L76" s="7"/>
      <c r="M76" s="7"/>
      <c r="N76" s="7"/>
      <c r="O76" s="7"/>
      <c r="P76" s="7"/>
      <c r="Q76" s="8"/>
    </row>
    <row r="77" spans="2:17">
      <c r="B77" s="6"/>
      <c r="C77" s="7"/>
      <c r="D77" s="7"/>
      <c r="E77" s="7"/>
      <c r="F77" s="7"/>
      <c r="G77" s="7"/>
      <c r="H77" s="7"/>
      <c r="I77" s="7"/>
      <c r="J77" s="7"/>
      <c r="K77" s="7"/>
      <c r="L77" s="7"/>
      <c r="M77" s="7"/>
      <c r="N77" s="7"/>
      <c r="O77" s="7"/>
      <c r="P77" s="7"/>
      <c r="Q77" s="8"/>
    </row>
    <row r="78" spans="2:17" ht="15.6">
      <c r="B78" s="6"/>
      <c r="C78" s="1102" t="s">
        <v>1107</v>
      </c>
      <c r="D78" s="7"/>
      <c r="E78" s="7"/>
      <c r="F78" s="7"/>
      <c r="G78" s="7"/>
      <c r="H78" s="7"/>
      <c r="I78" s="7"/>
      <c r="J78" s="7"/>
      <c r="K78" s="7"/>
      <c r="L78" s="7"/>
      <c r="M78" s="7"/>
      <c r="N78" s="7"/>
      <c r="O78" s="7"/>
      <c r="P78" s="7"/>
      <c r="Q78" s="8"/>
    </row>
    <row r="79" spans="2:17" outlineLevel="1">
      <c r="B79" s="6"/>
      <c r="C79" s="618" t="s">
        <v>1108</v>
      </c>
      <c r="D79" s="7"/>
      <c r="E79" s="7"/>
      <c r="F79" s="7"/>
      <c r="G79" s="7"/>
      <c r="H79" s="7"/>
      <c r="I79" s="7"/>
      <c r="J79" s="7"/>
      <c r="K79" s="7"/>
      <c r="L79" s="7"/>
      <c r="M79" s="7"/>
      <c r="N79" s="7"/>
      <c r="O79" s="7"/>
      <c r="P79" s="7"/>
      <c r="Q79" s="8"/>
    </row>
    <row r="80" spans="2:17" ht="29.25" customHeight="1" outlineLevel="1">
      <c r="B80" s="6"/>
      <c r="C80" s="1922" t="s">
        <v>1413</v>
      </c>
      <c r="D80" s="1922"/>
      <c r="E80" s="1922"/>
      <c r="F80" s="1922"/>
      <c r="G80" s="1922"/>
      <c r="H80" s="1922"/>
      <c r="I80" s="1922"/>
      <c r="J80" s="1922"/>
      <c r="K80" s="1922"/>
      <c r="L80" s="1922"/>
      <c r="M80" s="1922"/>
      <c r="N80" s="1922"/>
      <c r="O80" s="1922"/>
      <c r="P80" s="7"/>
      <c r="Q80" s="8"/>
    </row>
    <row r="81" spans="1:48" outlineLevel="1">
      <c r="B81" s="6"/>
      <c r="C81" s="216"/>
      <c r="D81" s="216"/>
      <c r="E81" s="216"/>
      <c r="F81" s="216"/>
      <c r="G81" s="216"/>
      <c r="H81" s="216"/>
      <c r="I81" s="216"/>
      <c r="J81" s="216"/>
      <c r="K81" s="216"/>
      <c r="L81" s="216"/>
      <c r="M81" s="216"/>
      <c r="N81" s="216"/>
      <c r="O81" s="7"/>
      <c r="P81" s="7"/>
      <c r="Q81" s="8"/>
    </row>
    <row r="82" spans="1:48" ht="14.25" customHeight="1" outlineLevel="1">
      <c r="A82" s="8"/>
      <c r="B82" s="1722" t="s">
        <v>488</v>
      </c>
      <c r="C82" s="1723"/>
      <c r="D82" s="1723"/>
      <c r="E82" s="1723"/>
      <c r="F82" s="1723"/>
      <c r="G82" s="1723"/>
      <c r="H82" s="1723"/>
      <c r="I82" s="1723"/>
      <c r="J82" s="1723"/>
      <c r="K82" s="1723"/>
      <c r="L82" s="1723"/>
      <c r="M82" s="1723"/>
      <c r="N82" s="1723"/>
      <c r="O82" s="1723"/>
      <c r="P82" s="1723"/>
      <c r="Q82" s="1724"/>
      <c r="AV82" s="459"/>
    </row>
    <row r="83" spans="1:48" ht="14.25" hidden="1" customHeight="1" outlineLevel="2" thickBot="1">
      <c r="A83" s="8"/>
      <c r="B83" s="7"/>
      <c r="C83" s="671"/>
      <c r="D83" s="671"/>
      <c r="E83" s="671"/>
      <c r="F83" s="671"/>
      <c r="G83" s="671"/>
      <c r="H83" s="671"/>
      <c r="I83" s="671"/>
      <c r="J83" s="671"/>
      <c r="K83" s="671"/>
      <c r="L83" s="671"/>
      <c r="M83" s="671"/>
      <c r="N83" s="7"/>
      <c r="O83" s="7"/>
      <c r="P83" s="7"/>
      <c r="Q83" s="8"/>
    </row>
    <row r="84" spans="1:48" ht="17.25" hidden="1" customHeight="1" outlineLevel="2">
      <c r="A84" s="8"/>
      <c r="B84" s="7"/>
      <c r="C84" s="672"/>
      <c r="D84" s="1109" t="s">
        <v>499</v>
      </c>
      <c r="E84" s="622"/>
      <c r="F84" s="622"/>
      <c r="G84" s="622"/>
      <c r="H84" s="673"/>
      <c r="I84" s="673"/>
      <c r="J84" s="674"/>
      <c r="K84" s="1110" t="s">
        <v>492</v>
      </c>
      <c r="L84" s="1110" t="s">
        <v>1057</v>
      </c>
      <c r="M84" s="1110" t="s">
        <v>1069</v>
      </c>
      <c r="N84" s="1111"/>
      <c r="O84" s="7"/>
      <c r="P84" s="7"/>
      <c r="Q84" s="8"/>
    </row>
    <row r="85" spans="1:48" ht="17.25" hidden="1" customHeight="1" outlineLevel="2">
      <c r="A85" s="8"/>
      <c r="B85" s="7"/>
      <c r="C85" s="672"/>
      <c r="D85" s="675" t="s">
        <v>657</v>
      </c>
      <c r="E85" s="1927"/>
      <c r="F85" s="1927"/>
      <c r="G85" s="7"/>
      <c r="H85" s="619"/>
      <c r="I85" s="619"/>
      <c r="J85" s="672"/>
      <c r="K85" s="1930" t="s">
        <v>12</v>
      </c>
      <c r="L85" s="1930"/>
      <c r="M85" s="1928"/>
      <c r="N85" s="1929"/>
      <c r="O85" s="7"/>
      <c r="P85" s="7"/>
      <c r="Q85" s="8"/>
    </row>
    <row r="86" spans="1:48" hidden="1" outlineLevel="2">
      <c r="A86" s="8"/>
      <c r="B86" s="7"/>
      <c r="C86" s="1935"/>
      <c r="D86" s="1958" t="s">
        <v>1401</v>
      </c>
      <c r="E86" s="1935"/>
      <c r="F86" s="1935"/>
      <c r="G86" s="1935"/>
      <c r="H86" s="1935"/>
      <c r="I86" s="1935"/>
      <c r="J86" s="1935"/>
      <c r="K86" s="676" t="s">
        <v>1106</v>
      </c>
      <c r="L86" s="7"/>
      <c r="M86" s="1923"/>
      <c r="N86" s="1924"/>
      <c r="O86" s="7"/>
      <c r="P86" s="7"/>
      <c r="Q86" s="8"/>
      <c r="AV86" s="677"/>
    </row>
    <row r="87" spans="1:48" ht="15" hidden="1" customHeight="1" outlineLevel="2">
      <c r="A87" s="8"/>
      <c r="B87" s="7"/>
      <c r="C87" s="1935"/>
      <c r="D87" s="1959" t="s">
        <v>1074</v>
      </c>
      <c r="E87" s="1960"/>
      <c r="F87" s="1960"/>
      <c r="G87" s="1960"/>
      <c r="H87" s="1960"/>
      <c r="I87" s="1960"/>
      <c r="J87" s="1960"/>
      <c r="K87" s="678"/>
      <c r="L87" s="7"/>
      <c r="M87" s="1923"/>
      <c r="N87" s="1924"/>
      <c r="O87" s="7"/>
      <c r="P87" s="7"/>
      <c r="Q87" s="8"/>
    </row>
    <row r="88" spans="1:48" ht="15" hidden="1" customHeight="1" outlineLevel="2">
      <c r="A88" s="8"/>
      <c r="B88" s="7"/>
      <c r="C88" s="679"/>
      <c r="D88" s="206" t="s">
        <v>1414</v>
      </c>
      <c r="E88" s="680"/>
      <c r="F88" s="680"/>
      <c r="G88" s="680"/>
      <c r="H88" s="680"/>
      <c r="I88" s="680"/>
      <c r="J88" s="680"/>
      <c r="K88" s="163"/>
      <c r="L88" s="569" t="s">
        <v>1051</v>
      </c>
      <c r="M88" s="1946"/>
      <c r="N88" s="1947"/>
      <c r="O88" s="7"/>
      <c r="P88" s="7"/>
      <c r="Q88" s="8"/>
    </row>
    <row r="89" spans="1:48" hidden="1" outlineLevel="2">
      <c r="A89" s="8"/>
      <c r="B89" s="7"/>
      <c r="C89" s="681"/>
      <c r="D89" s="682" t="s">
        <v>1415</v>
      </c>
      <c r="E89" s="630"/>
      <c r="F89" s="630"/>
      <c r="G89" s="630"/>
      <c r="H89" s="630"/>
      <c r="I89" s="630"/>
      <c r="J89" s="630"/>
      <c r="K89" s="683"/>
      <c r="L89" s="684" t="s">
        <v>1089</v>
      </c>
      <c r="M89" s="1933"/>
      <c r="N89" s="1934"/>
      <c r="O89" s="7"/>
      <c r="P89" s="7"/>
      <c r="Q89" s="8"/>
    </row>
    <row r="90" spans="1:48" hidden="1" outlineLevel="2">
      <c r="A90" s="8"/>
      <c r="B90" s="7"/>
      <c r="C90" s="685"/>
      <c r="D90" s="686" t="s">
        <v>1416</v>
      </c>
      <c r="E90" s="680"/>
      <c r="F90" s="680"/>
      <c r="G90" s="680"/>
      <c r="H90" s="680"/>
      <c r="I90" s="680"/>
      <c r="J90" s="680"/>
      <c r="K90" s="141"/>
      <c r="L90" s="684" t="s">
        <v>1155</v>
      </c>
      <c r="M90" s="1928"/>
      <c r="N90" s="1929"/>
      <c r="O90" s="7"/>
      <c r="P90" s="7"/>
      <c r="Q90" s="8"/>
      <c r="X90" s="9"/>
      <c r="Y90" s="9"/>
    </row>
    <row r="91" spans="1:48" hidden="1" outlineLevel="2">
      <c r="A91" s="8"/>
      <c r="B91" s="7"/>
      <c r="C91" s="681"/>
      <c r="D91" s="334" t="s">
        <v>1417</v>
      </c>
      <c r="E91" s="687"/>
      <c r="F91" s="687"/>
      <c r="G91" s="687"/>
      <c r="H91" s="687"/>
      <c r="I91" s="687"/>
      <c r="J91" s="687"/>
      <c r="K91" s="688"/>
      <c r="L91" s="569" t="s">
        <v>565</v>
      </c>
      <c r="M91" s="1925" t="s">
        <v>1111</v>
      </c>
      <c r="N91" s="1926"/>
      <c r="O91" s="7"/>
      <c r="P91" s="7"/>
      <c r="Q91" s="8"/>
    </row>
    <row r="92" spans="1:48" ht="30" hidden="1" customHeight="1" outlineLevel="2">
      <c r="A92" s="8"/>
      <c r="B92" s="7"/>
      <c r="D92" s="1961" t="s">
        <v>1418</v>
      </c>
      <c r="E92" s="1962"/>
      <c r="F92" s="1962"/>
      <c r="G92" s="1962"/>
      <c r="H92" s="1962"/>
      <c r="I92" s="1962"/>
      <c r="J92" s="1962"/>
      <c r="K92" s="163"/>
      <c r="L92" s="635" t="s">
        <v>1115</v>
      </c>
      <c r="M92" s="1925" t="s">
        <v>1111</v>
      </c>
      <c r="N92" s="1926"/>
      <c r="O92" s="7"/>
      <c r="P92" s="7"/>
      <c r="Q92" s="8"/>
    </row>
    <row r="93" spans="1:48" ht="15.75" hidden="1" customHeight="1" outlineLevel="2">
      <c r="A93" s="8"/>
      <c r="B93" s="7"/>
      <c r="D93" s="1112" t="s">
        <v>0</v>
      </c>
      <c r="E93" s="7"/>
      <c r="F93" s="7"/>
      <c r="G93" s="7"/>
      <c r="H93" s="7"/>
      <c r="I93" s="7"/>
      <c r="J93" s="7"/>
      <c r="K93" s="7"/>
      <c r="L93" s="598"/>
      <c r="M93" s="7"/>
      <c r="N93" s="689"/>
      <c r="O93" s="7"/>
      <c r="P93" s="7"/>
      <c r="Q93" s="8"/>
    </row>
    <row r="94" spans="1:48" ht="15" hidden="1" outlineLevel="2" thickBot="1">
      <c r="A94" s="8"/>
      <c r="B94" s="7"/>
      <c r="C94" s="681"/>
      <c r="D94" s="1954" t="s">
        <v>1419</v>
      </c>
      <c r="E94" s="1955"/>
      <c r="F94" s="1955"/>
      <c r="G94" s="1955"/>
      <c r="H94" s="1955"/>
      <c r="I94" s="1955"/>
      <c r="J94" s="1955"/>
      <c r="K94" s="348"/>
      <c r="L94" s="690" t="s">
        <v>1089</v>
      </c>
      <c r="M94" s="1956" t="s">
        <v>1111</v>
      </c>
      <c r="N94" s="1957"/>
      <c r="O94" s="7"/>
      <c r="P94" s="7"/>
      <c r="Q94" s="8"/>
    </row>
    <row r="95" spans="1:48" ht="15.75" hidden="1" customHeight="1" outlineLevel="2">
      <c r="A95" s="8"/>
      <c r="B95" s="7"/>
      <c r="F95" s="7"/>
      <c r="G95" s="7"/>
      <c r="J95" s="7"/>
      <c r="O95" s="7"/>
      <c r="P95" s="7"/>
      <c r="Q95" s="8"/>
    </row>
    <row r="96" spans="1:48" hidden="1" outlineLevel="2">
      <c r="A96" s="8"/>
      <c r="B96" s="7"/>
      <c r="C96" s="1114" t="s">
        <v>1114</v>
      </c>
      <c r="D96" s="1113"/>
      <c r="E96" s="7"/>
      <c r="F96" s="7"/>
      <c r="G96" s="7"/>
      <c r="H96" s="7"/>
      <c r="I96" s="7"/>
      <c r="J96" s="7"/>
      <c r="K96" s="7"/>
      <c r="L96" s="7"/>
      <c r="M96" s="7"/>
      <c r="N96" s="7"/>
      <c r="O96" s="7"/>
      <c r="P96" s="7"/>
      <c r="Q96" s="8"/>
    </row>
    <row r="97" spans="1:48" hidden="1" outlineLevel="2">
      <c r="A97" s="8"/>
      <c r="B97" s="7"/>
      <c r="C97" s="1115" t="s">
        <v>1112</v>
      </c>
      <c r="D97" s="7"/>
      <c r="E97" s="7"/>
      <c r="F97" s="7"/>
      <c r="G97" s="7"/>
      <c r="H97" s="7"/>
      <c r="I97" s="7"/>
      <c r="J97" s="691"/>
      <c r="K97" s="7"/>
      <c r="L97" s="7"/>
      <c r="M97" s="7"/>
      <c r="N97" s="7"/>
      <c r="O97" s="7"/>
      <c r="P97" s="7"/>
      <c r="Q97" s="8"/>
    </row>
    <row r="98" spans="1:48" hidden="1" outlineLevel="2">
      <c r="A98" s="8"/>
      <c r="B98" s="7"/>
      <c r="C98" s="71" t="s">
        <v>1420</v>
      </c>
      <c r="D98" s="71"/>
      <c r="E98" s="71"/>
      <c r="F98" s="71"/>
      <c r="G98" s="71"/>
      <c r="H98" s="71"/>
      <c r="I98" s="1991" t="s">
        <v>1075</v>
      </c>
      <c r="J98" s="1991"/>
      <c r="K98" s="1991"/>
      <c r="L98" s="1991"/>
      <c r="M98" s="1991"/>
      <c r="N98" s="1991"/>
      <c r="O98" s="7"/>
      <c r="P98" s="7"/>
      <c r="Q98" s="8"/>
    </row>
    <row r="99" spans="1:48" hidden="1" outlineLevel="2">
      <c r="A99" s="8"/>
      <c r="B99" s="7"/>
      <c r="C99" s="1888" t="s">
        <v>1421</v>
      </c>
      <c r="D99" s="1888"/>
      <c r="E99" s="1888"/>
      <c r="F99" s="1888"/>
      <c r="G99" s="1888"/>
      <c r="H99" s="1888"/>
      <c r="I99" s="1888"/>
      <c r="J99" s="1888"/>
      <c r="K99" s="1888"/>
      <c r="L99" s="1888"/>
      <c r="M99" s="1888"/>
      <c r="N99" s="1888"/>
      <c r="O99" s="7"/>
      <c r="P99" s="7"/>
      <c r="Q99" s="8"/>
      <c r="AV99" s="692"/>
    </row>
    <row r="100" spans="1:48" ht="15" hidden="1" outlineLevel="2" thickBot="1">
      <c r="A100" s="8"/>
      <c r="B100" s="7"/>
      <c r="C100" s="7" t="s">
        <v>1076</v>
      </c>
      <c r="D100" s="7"/>
      <c r="E100" s="7"/>
      <c r="F100" s="7"/>
      <c r="G100" s="7"/>
      <c r="H100" s="7"/>
      <c r="I100" s="7"/>
      <c r="J100" s="7"/>
      <c r="K100" s="7"/>
      <c r="L100" s="7"/>
      <c r="M100" s="7"/>
      <c r="N100" s="7"/>
      <c r="O100" s="7"/>
      <c r="P100" s="7"/>
      <c r="Q100" s="8"/>
    </row>
    <row r="101" spans="1:48" ht="15.6" hidden="1" outlineLevel="2">
      <c r="A101" s="8"/>
      <c r="B101" s="7"/>
      <c r="C101" s="693"/>
      <c r="D101" s="622"/>
      <c r="E101" s="1952" t="s">
        <v>1422</v>
      </c>
      <c r="F101" s="1952"/>
      <c r="G101" s="1952"/>
      <c r="H101" s="1952"/>
      <c r="I101" s="1952"/>
      <c r="J101" s="1952"/>
      <c r="K101" s="1952"/>
      <c r="L101" s="1952"/>
      <c r="M101" s="1952"/>
      <c r="N101" s="1952"/>
      <c r="O101" s="1952"/>
      <c r="P101" s="1953"/>
      <c r="Q101" s="8"/>
      <c r="AE101" s="647"/>
    </row>
    <row r="102" spans="1:48" ht="15.75" hidden="1" customHeight="1" outlineLevel="2">
      <c r="A102" s="8"/>
      <c r="B102" s="7"/>
      <c r="C102" s="694"/>
      <c r="D102" s="7"/>
      <c r="E102" s="695">
        <v>1</v>
      </c>
      <c r="F102" s="695">
        <v>2</v>
      </c>
      <c r="G102" s="695">
        <v>3</v>
      </c>
      <c r="H102" s="695">
        <v>4</v>
      </c>
      <c r="I102" s="695">
        <v>5</v>
      </c>
      <c r="J102" s="695">
        <v>6</v>
      </c>
      <c r="K102" s="695">
        <v>7</v>
      </c>
      <c r="L102" s="695">
        <v>8</v>
      </c>
      <c r="M102" s="695">
        <v>9</v>
      </c>
      <c r="N102" s="695">
        <v>10</v>
      </c>
      <c r="O102" s="695">
        <v>11</v>
      </c>
      <c r="P102" s="696">
        <v>12</v>
      </c>
      <c r="Q102" s="8"/>
      <c r="AE102" s="697"/>
      <c r="AF102" s="697"/>
      <c r="AG102" s="697"/>
      <c r="AH102" s="1945"/>
      <c r="AI102" s="1945"/>
      <c r="AJ102" s="1945"/>
      <c r="AK102" s="1945"/>
      <c r="AL102" s="1945"/>
      <c r="AM102" s="697"/>
    </row>
    <row r="103" spans="1:48" hidden="1" outlineLevel="2">
      <c r="A103" s="8"/>
      <c r="B103" s="7"/>
      <c r="C103" s="1950" t="s">
        <v>679</v>
      </c>
      <c r="D103" s="1951"/>
      <c r="E103" s="698"/>
      <c r="F103" s="699"/>
      <c r="G103" s="699"/>
      <c r="H103" s="699"/>
      <c r="I103" s="699"/>
      <c r="J103" s="699"/>
      <c r="K103" s="699"/>
      <c r="L103" s="699"/>
      <c r="M103" s="699"/>
      <c r="N103" s="699"/>
      <c r="O103" s="699"/>
      <c r="P103" s="700"/>
      <c r="Q103" s="8"/>
      <c r="AE103" s="680"/>
      <c r="AF103" s="680"/>
      <c r="AG103" s="680"/>
      <c r="AH103" s="1936"/>
      <c r="AI103" s="1936"/>
      <c r="AJ103" s="1936"/>
      <c r="AK103" s="1936"/>
      <c r="AL103" s="1936"/>
      <c r="AM103" s="1964"/>
    </row>
    <row r="104" spans="1:48" s="376" customFormat="1" hidden="1" outlineLevel="2">
      <c r="A104" s="462"/>
      <c r="B104" s="342"/>
      <c r="C104" s="1963" t="s">
        <v>656</v>
      </c>
      <c r="D104" s="1964"/>
      <c r="E104" s="701"/>
      <c r="F104" s="187"/>
      <c r="G104" s="187"/>
      <c r="H104" s="187"/>
      <c r="I104" s="187"/>
      <c r="J104" s="187"/>
      <c r="K104" s="187"/>
      <c r="L104" s="187"/>
      <c r="M104" s="187"/>
      <c r="N104" s="187"/>
      <c r="O104" s="187"/>
      <c r="P104" s="702"/>
      <c r="Q104" s="462"/>
      <c r="AE104" s="703"/>
      <c r="AF104" s="703"/>
      <c r="AG104" s="703"/>
      <c r="AH104" s="1967"/>
      <c r="AI104" s="1967"/>
      <c r="AJ104" s="1967"/>
      <c r="AK104" s="1967"/>
      <c r="AL104" s="1967"/>
      <c r="AM104" s="1964"/>
      <c r="AN104" s="656"/>
    </row>
    <row r="105" spans="1:48" ht="33.75" hidden="1" customHeight="1" outlineLevel="2" thickBot="1">
      <c r="A105" s="8"/>
      <c r="B105" s="7"/>
      <c r="C105" s="1965" t="s">
        <v>1447</v>
      </c>
      <c r="D105" s="1966"/>
      <c r="E105" s="704"/>
      <c r="F105" s="705"/>
      <c r="G105" s="705"/>
      <c r="H105" s="705"/>
      <c r="I105" s="705"/>
      <c r="J105" s="705"/>
      <c r="K105" s="705"/>
      <c r="L105" s="705"/>
      <c r="M105" s="705"/>
      <c r="N105" s="705"/>
      <c r="O105" s="705"/>
      <c r="P105" s="706"/>
      <c r="Q105" s="8"/>
      <c r="AE105" s="680"/>
      <c r="AF105" s="680"/>
      <c r="AG105" s="680"/>
      <c r="AH105" s="1936"/>
      <c r="AI105" s="1936"/>
      <c r="AJ105" s="1936"/>
      <c r="AK105" s="1936"/>
      <c r="AL105" s="1936"/>
      <c r="AM105" s="1964"/>
    </row>
    <row r="106" spans="1:48" hidden="1" outlineLevel="2">
      <c r="A106" s="8"/>
      <c r="B106" s="7"/>
      <c r="C106" s="7"/>
      <c r="D106" s="598"/>
      <c r="E106" s="598"/>
      <c r="F106" s="598"/>
      <c r="G106" s="598"/>
      <c r="H106" s="598"/>
      <c r="I106" s="598"/>
      <c r="J106" s="598"/>
      <c r="K106" s="598"/>
      <c r="L106" s="598"/>
      <c r="M106" s="598"/>
      <c r="N106" s="598"/>
      <c r="O106" s="598"/>
      <c r="P106" s="7"/>
      <c r="Q106" s="8"/>
      <c r="AE106" s="680"/>
      <c r="AF106" s="680"/>
      <c r="AG106" s="680"/>
      <c r="AH106" s="1936"/>
      <c r="AI106" s="1936"/>
      <c r="AJ106" s="1936"/>
      <c r="AK106" s="1936"/>
      <c r="AL106" s="1936"/>
      <c r="AM106" s="1964"/>
      <c r="AR106" s="7"/>
    </row>
    <row r="107" spans="1:48" ht="15.75" hidden="1" customHeight="1" outlineLevel="2">
      <c r="A107" s="8"/>
      <c r="B107" s="7"/>
      <c r="C107" s="1115" t="s">
        <v>1511</v>
      </c>
      <c r="D107" s="598"/>
      <c r="E107" s="598"/>
      <c r="F107" s="598"/>
      <c r="G107" s="598"/>
      <c r="H107" s="598"/>
      <c r="I107" s="598"/>
      <c r="J107" s="598"/>
      <c r="K107" s="598"/>
      <c r="L107" s="598"/>
      <c r="M107" s="598"/>
      <c r="N107" s="598"/>
      <c r="O107" s="598"/>
      <c r="P107" s="7"/>
      <c r="Q107" s="8"/>
      <c r="AE107" s="680"/>
      <c r="AF107" s="680"/>
      <c r="AG107" s="680"/>
      <c r="AH107" s="1936"/>
      <c r="AI107" s="1936"/>
      <c r="AJ107" s="1936"/>
      <c r="AK107" s="1936"/>
      <c r="AL107" s="1936"/>
      <c r="AM107" s="1964"/>
      <c r="AR107" s="7"/>
    </row>
    <row r="108" spans="1:48" ht="15.75" hidden="1" customHeight="1" outlineLevel="2">
      <c r="A108" s="8"/>
      <c r="B108" s="7"/>
      <c r="C108" s="7" t="s">
        <v>1423</v>
      </c>
      <c r="D108" s="598"/>
      <c r="E108" s="598"/>
      <c r="F108" s="598"/>
      <c r="G108" s="598"/>
      <c r="H108" s="598"/>
      <c r="I108" s="598"/>
      <c r="J108" s="598"/>
      <c r="K108" s="598"/>
      <c r="L108" s="598"/>
      <c r="M108" s="598"/>
      <c r="N108" s="598"/>
      <c r="O108" s="598"/>
      <c r="P108" s="7"/>
      <c r="Q108" s="8"/>
      <c r="AE108" s="680"/>
      <c r="AF108" s="680"/>
      <c r="AG108" s="680"/>
      <c r="AH108" s="630"/>
      <c r="AI108" s="630"/>
      <c r="AJ108" s="630"/>
      <c r="AK108" s="630"/>
      <c r="AL108" s="630"/>
      <c r="AM108" s="1964"/>
      <c r="AR108" s="7"/>
    </row>
    <row r="109" spans="1:48" ht="15.75" hidden="1" customHeight="1" outlineLevel="2" thickBot="1">
      <c r="A109" s="8"/>
      <c r="B109" s="7"/>
      <c r="C109" s="618" t="s">
        <v>1113</v>
      </c>
      <c r="D109" s="598"/>
      <c r="E109" s="598"/>
      <c r="F109" s="598"/>
      <c r="G109" s="598"/>
      <c r="H109" s="598"/>
      <c r="I109" s="598"/>
      <c r="J109" s="598"/>
      <c r="K109" s="598"/>
      <c r="L109" s="598"/>
      <c r="M109" s="598"/>
      <c r="N109" s="598"/>
      <c r="O109" s="598"/>
      <c r="P109" s="7"/>
      <c r="Q109" s="8"/>
      <c r="AE109" s="680"/>
      <c r="AF109" s="680"/>
      <c r="AG109" s="680"/>
      <c r="AH109" s="1936"/>
      <c r="AI109" s="1936"/>
      <c r="AJ109" s="1936"/>
      <c r="AK109" s="1936"/>
      <c r="AL109" s="1936"/>
      <c r="AM109" s="1964"/>
      <c r="AR109" s="7"/>
    </row>
    <row r="110" spans="1:48" ht="15.75" hidden="1" customHeight="1" outlineLevel="2">
      <c r="A110" s="8"/>
      <c r="B110" s="7"/>
      <c r="C110" s="1937" t="s">
        <v>1424</v>
      </c>
      <c r="D110" s="1938"/>
      <c r="E110" s="1941" t="s">
        <v>1425</v>
      </c>
      <c r="F110" s="1941"/>
      <c r="G110" s="1941"/>
      <c r="H110" s="1941"/>
      <c r="I110" s="1941"/>
      <c r="J110" s="1941"/>
      <c r="K110" s="1941"/>
      <c r="L110" s="1941"/>
      <c r="M110" s="1941"/>
      <c r="N110" s="1941"/>
      <c r="O110" s="1941"/>
      <c r="P110" s="1942"/>
      <c r="Q110" s="1943" t="s">
        <v>1156</v>
      </c>
      <c r="AE110" s="680"/>
      <c r="AF110" s="680"/>
      <c r="AG110" s="680"/>
      <c r="AH110" s="1936"/>
      <c r="AI110" s="1936"/>
      <c r="AJ110" s="1936"/>
      <c r="AK110" s="1936"/>
      <c r="AL110" s="1936"/>
      <c r="AM110" s="1964"/>
      <c r="AR110" s="7"/>
    </row>
    <row r="111" spans="1:48" ht="24.75" hidden="1" customHeight="1" outlineLevel="2">
      <c r="A111" s="8"/>
      <c r="B111" s="7"/>
      <c r="C111" s="1939"/>
      <c r="D111" s="1940"/>
      <c r="E111" s="707" t="s">
        <v>684</v>
      </c>
      <c r="F111" s="707" t="s">
        <v>685</v>
      </c>
      <c r="G111" s="707" t="s">
        <v>686</v>
      </c>
      <c r="H111" s="707" t="s">
        <v>687</v>
      </c>
      <c r="I111" s="707" t="s">
        <v>688</v>
      </c>
      <c r="J111" s="707" t="s">
        <v>689</v>
      </c>
      <c r="K111" s="707" t="s">
        <v>690</v>
      </c>
      <c r="L111" s="707" t="s">
        <v>691</v>
      </c>
      <c r="M111" s="707" t="s">
        <v>692</v>
      </c>
      <c r="N111" s="707" t="s">
        <v>693</v>
      </c>
      <c r="O111" s="707" t="s">
        <v>694</v>
      </c>
      <c r="P111" s="708" t="s">
        <v>695</v>
      </c>
      <c r="Q111" s="1944"/>
      <c r="AE111" s="680"/>
      <c r="AF111" s="680"/>
      <c r="AG111" s="680"/>
      <c r="AH111" s="1936"/>
      <c r="AI111" s="1936"/>
      <c r="AJ111" s="1936"/>
      <c r="AK111" s="1936"/>
      <c r="AL111" s="1936"/>
      <c r="AM111" s="1964"/>
      <c r="AR111" s="7"/>
    </row>
    <row r="112" spans="1:48" ht="15" hidden="1" customHeight="1" outlineLevel="2">
      <c r="A112" s="8"/>
      <c r="B112" s="7"/>
      <c r="C112" s="1906"/>
      <c r="D112" s="1907"/>
      <c r="E112" s="188"/>
      <c r="F112" s="188"/>
      <c r="G112" s="709"/>
      <c r="H112" s="709"/>
      <c r="I112" s="188"/>
      <c r="J112" s="188"/>
      <c r="K112" s="188"/>
      <c r="L112" s="188"/>
      <c r="M112" s="188"/>
      <c r="N112" s="188"/>
      <c r="O112" s="188"/>
      <c r="P112" s="188"/>
      <c r="Q112" s="710"/>
      <c r="AE112" s="680"/>
      <c r="AF112" s="680"/>
      <c r="AG112" s="680"/>
      <c r="AH112" s="1936"/>
      <c r="AI112" s="1936"/>
      <c r="AJ112" s="1936"/>
      <c r="AK112" s="1936"/>
      <c r="AL112" s="1936"/>
      <c r="AM112" s="1964"/>
      <c r="AR112" s="7"/>
    </row>
    <row r="113" spans="1:44" ht="15" hidden="1" customHeight="1" outlineLevel="2">
      <c r="A113" s="8"/>
      <c r="B113" s="7"/>
      <c r="C113" s="1906"/>
      <c r="D113" s="1907"/>
      <c r="E113" s="188"/>
      <c r="F113" s="188"/>
      <c r="G113" s="709"/>
      <c r="H113" s="709"/>
      <c r="I113" s="188"/>
      <c r="J113" s="188"/>
      <c r="K113" s="188"/>
      <c r="L113" s="188"/>
      <c r="M113" s="188"/>
      <c r="N113" s="188"/>
      <c r="O113" s="188"/>
      <c r="P113" s="188"/>
      <c r="Q113" s="710"/>
      <c r="AE113" s="680"/>
      <c r="AF113" s="680"/>
      <c r="AG113" s="680"/>
      <c r="AH113" s="1936"/>
      <c r="AI113" s="1936"/>
      <c r="AJ113" s="1936"/>
      <c r="AK113" s="1936"/>
      <c r="AL113" s="1936"/>
      <c r="AM113" s="1964"/>
      <c r="AR113" s="218"/>
    </row>
    <row r="114" spans="1:44" hidden="1" outlineLevel="2">
      <c r="A114" s="8"/>
      <c r="B114" s="7"/>
      <c r="C114" s="1906"/>
      <c r="D114" s="1907"/>
      <c r="E114" s="188"/>
      <c r="F114" s="709"/>
      <c r="G114" s="709"/>
      <c r="H114" s="709"/>
      <c r="I114" s="188"/>
      <c r="J114" s="188"/>
      <c r="K114" s="188"/>
      <c r="L114" s="188"/>
      <c r="M114" s="188"/>
      <c r="N114" s="188"/>
      <c r="O114" s="188"/>
      <c r="P114" s="188"/>
      <c r="Q114" s="711"/>
      <c r="R114" s="712"/>
      <c r="AE114" s="680"/>
      <c r="AF114" s="680"/>
      <c r="AG114" s="680"/>
      <c r="AH114" s="1936"/>
      <c r="AI114" s="1936"/>
      <c r="AJ114" s="1936"/>
      <c r="AK114" s="1936"/>
      <c r="AL114" s="1936"/>
      <c r="AM114" s="1964"/>
      <c r="AR114" s="218"/>
    </row>
    <row r="115" spans="1:44" hidden="1" outlineLevel="2">
      <c r="A115" s="8"/>
      <c r="B115" s="7"/>
      <c r="C115" s="1906"/>
      <c r="D115" s="1907"/>
      <c r="E115" s="188"/>
      <c r="F115" s="188"/>
      <c r="G115" s="188"/>
      <c r="H115" s="188"/>
      <c r="I115" s="188"/>
      <c r="J115" s="188"/>
      <c r="K115" s="188"/>
      <c r="L115" s="188"/>
      <c r="M115" s="188"/>
      <c r="N115" s="188"/>
      <c r="O115" s="188"/>
      <c r="P115" s="188"/>
      <c r="Q115" s="711"/>
      <c r="R115" s="712"/>
      <c r="AE115" s="680"/>
      <c r="AF115" s="680"/>
      <c r="AG115" s="680"/>
      <c r="AH115" s="1936"/>
      <c r="AI115" s="1936"/>
      <c r="AJ115" s="1936"/>
      <c r="AK115" s="1936"/>
      <c r="AL115" s="1936"/>
      <c r="AM115" s="1964"/>
      <c r="AR115" s="218"/>
    </row>
    <row r="116" spans="1:44" hidden="1" outlineLevel="2">
      <c r="A116" s="8"/>
      <c r="B116" s="7"/>
      <c r="C116" s="1906"/>
      <c r="D116" s="1907"/>
      <c r="E116" s="188"/>
      <c r="F116" s="188"/>
      <c r="G116" s="188"/>
      <c r="H116" s="188"/>
      <c r="I116" s="188"/>
      <c r="J116" s="188"/>
      <c r="K116" s="188"/>
      <c r="L116" s="188"/>
      <c r="M116" s="188"/>
      <c r="N116" s="188"/>
      <c r="O116" s="188"/>
      <c r="P116" s="188"/>
      <c r="Q116" s="711"/>
      <c r="R116" s="712"/>
      <c r="AE116" s="680"/>
      <c r="AF116" s="680"/>
      <c r="AG116" s="680"/>
      <c r="AH116" s="1936"/>
      <c r="AI116" s="1936"/>
      <c r="AJ116" s="1936"/>
      <c r="AK116" s="1936"/>
      <c r="AL116" s="1936"/>
      <c r="AM116" s="1964"/>
      <c r="AR116" s="218"/>
    </row>
    <row r="117" spans="1:44" hidden="1" outlineLevel="2">
      <c r="A117" s="8"/>
      <c r="B117" s="7"/>
      <c r="C117" s="1906"/>
      <c r="D117" s="1907"/>
      <c r="E117" s="188"/>
      <c r="F117" s="188"/>
      <c r="G117" s="188"/>
      <c r="H117" s="188"/>
      <c r="I117" s="188"/>
      <c r="J117" s="188"/>
      <c r="K117" s="188"/>
      <c r="L117" s="188"/>
      <c r="M117" s="188"/>
      <c r="N117" s="188"/>
      <c r="O117" s="188"/>
      <c r="P117" s="188"/>
      <c r="Q117" s="711"/>
      <c r="R117" s="712"/>
      <c r="AE117" s="680"/>
      <c r="AF117" s="680"/>
      <c r="AG117" s="680"/>
      <c r="AH117" s="1936"/>
      <c r="AI117" s="1936"/>
      <c r="AJ117" s="1936"/>
      <c r="AK117" s="1936"/>
      <c r="AL117" s="1936"/>
      <c r="AM117" s="1964"/>
      <c r="AR117" s="218"/>
    </row>
    <row r="118" spans="1:44" hidden="1" outlineLevel="2">
      <c r="A118" s="8"/>
      <c r="B118" s="7"/>
      <c r="C118" s="1906"/>
      <c r="D118" s="1907"/>
      <c r="E118" s="188"/>
      <c r="F118" s="188"/>
      <c r="G118" s="188"/>
      <c r="H118" s="188"/>
      <c r="I118" s="188"/>
      <c r="J118" s="188"/>
      <c r="K118" s="188"/>
      <c r="L118" s="188"/>
      <c r="M118" s="188"/>
      <c r="N118" s="188"/>
      <c r="O118" s="188"/>
      <c r="P118" s="188"/>
      <c r="Q118" s="711"/>
      <c r="R118" s="712"/>
      <c r="AE118" s="680"/>
      <c r="AF118" s="680"/>
      <c r="AG118" s="680"/>
      <c r="AH118" s="1936"/>
      <c r="AI118" s="1936"/>
      <c r="AJ118" s="1936"/>
      <c r="AK118" s="1936"/>
      <c r="AL118" s="1936"/>
      <c r="AM118" s="1964"/>
      <c r="AR118" s="218"/>
    </row>
    <row r="119" spans="1:44" hidden="1" outlineLevel="2">
      <c r="A119" s="8"/>
      <c r="B119" s="7"/>
      <c r="C119" s="1906"/>
      <c r="D119" s="1907"/>
      <c r="E119" s="188"/>
      <c r="F119" s="188"/>
      <c r="G119" s="188"/>
      <c r="H119" s="188"/>
      <c r="I119" s="188"/>
      <c r="J119" s="188"/>
      <c r="K119" s="188"/>
      <c r="L119" s="188"/>
      <c r="M119" s="188"/>
      <c r="N119" s="188"/>
      <c r="O119" s="188"/>
      <c r="P119" s="188"/>
      <c r="Q119" s="711"/>
      <c r="R119" s="712"/>
      <c r="AE119" s="680"/>
      <c r="AF119" s="680"/>
      <c r="AG119" s="680"/>
      <c r="AH119" s="1936"/>
      <c r="AI119" s="1936"/>
      <c r="AJ119" s="1936"/>
      <c r="AK119" s="1936"/>
      <c r="AL119" s="1936"/>
      <c r="AM119" s="1964"/>
      <c r="AR119" s="218"/>
    </row>
    <row r="120" spans="1:44" hidden="1" outlineLevel="2">
      <c r="A120" s="8"/>
      <c r="B120" s="7"/>
      <c r="C120" s="1906"/>
      <c r="D120" s="1907"/>
      <c r="E120" s="188"/>
      <c r="F120" s="188"/>
      <c r="G120" s="188"/>
      <c r="H120" s="188"/>
      <c r="I120" s="188"/>
      <c r="J120" s="188"/>
      <c r="K120" s="188"/>
      <c r="L120" s="188"/>
      <c r="M120" s="188"/>
      <c r="N120" s="188"/>
      <c r="O120" s="188"/>
      <c r="P120" s="188"/>
      <c r="Q120" s="711"/>
      <c r="R120" s="712"/>
      <c r="AE120" s="680"/>
      <c r="AF120" s="680"/>
      <c r="AG120" s="680"/>
      <c r="AH120" s="1936"/>
      <c r="AI120" s="1936"/>
      <c r="AJ120" s="1936"/>
      <c r="AK120" s="1936"/>
      <c r="AL120" s="1936"/>
      <c r="AM120" s="1964"/>
      <c r="AR120" s="218"/>
    </row>
    <row r="121" spans="1:44" hidden="1" outlineLevel="2">
      <c r="A121" s="8"/>
      <c r="B121" s="7"/>
      <c r="C121" s="1906"/>
      <c r="D121" s="1907"/>
      <c r="E121" s="188"/>
      <c r="F121" s="188"/>
      <c r="G121" s="188"/>
      <c r="H121" s="188"/>
      <c r="I121" s="188"/>
      <c r="J121" s="188"/>
      <c r="K121" s="188"/>
      <c r="L121" s="188"/>
      <c r="M121" s="188"/>
      <c r="N121" s="188"/>
      <c r="O121" s="188"/>
      <c r="P121" s="188"/>
      <c r="Q121" s="711"/>
      <c r="R121" s="712"/>
      <c r="AE121" s="680"/>
      <c r="AF121" s="680"/>
      <c r="AG121" s="680"/>
      <c r="AH121" s="1936"/>
      <c r="AI121" s="1936"/>
      <c r="AJ121" s="1936"/>
      <c r="AK121" s="1936"/>
      <c r="AL121" s="1936"/>
      <c r="AM121" s="1964"/>
      <c r="AR121" s="218"/>
    </row>
    <row r="122" spans="1:44" hidden="1" outlineLevel="2">
      <c r="A122" s="8"/>
      <c r="B122" s="7"/>
      <c r="C122" s="1906"/>
      <c r="D122" s="1907"/>
      <c r="E122" s="188"/>
      <c r="F122" s="188"/>
      <c r="G122" s="188"/>
      <c r="H122" s="188"/>
      <c r="I122" s="188"/>
      <c r="J122" s="188"/>
      <c r="K122" s="188"/>
      <c r="L122" s="188"/>
      <c r="M122" s="188"/>
      <c r="N122" s="188"/>
      <c r="O122" s="188"/>
      <c r="P122" s="188"/>
      <c r="Q122" s="711"/>
      <c r="R122" s="712"/>
      <c r="AE122" s="680"/>
      <c r="AF122" s="680"/>
      <c r="AG122" s="680"/>
      <c r="AH122" s="1936"/>
      <c r="AI122" s="1936"/>
      <c r="AJ122" s="1936"/>
      <c r="AK122" s="1936"/>
      <c r="AL122" s="1936"/>
      <c r="AM122" s="1964"/>
      <c r="AR122" s="218"/>
    </row>
    <row r="123" spans="1:44" hidden="1" outlineLevel="2">
      <c r="A123" s="8"/>
      <c r="B123" s="7"/>
      <c r="C123" s="1906"/>
      <c r="D123" s="1907"/>
      <c r="E123" s="188"/>
      <c r="F123" s="188"/>
      <c r="G123" s="188"/>
      <c r="H123" s="188"/>
      <c r="I123" s="188"/>
      <c r="J123" s="188"/>
      <c r="K123" s="188"/>
      <c r="L123" s="188"/>
      <c r="M123" s="188"/>
      <c r="N123" s="188"/>
      <c r="O123" s="188"/>
      <c r="P123" s="188"/>
      <c r="Q123" s="711"/>
      <c r="R123" s="712"/>
      <c r="AE123" s="632"/>
      <c r="AF123" s="713"/>
      <c r="AG123" s="713"/>
      <c r="AH123" s="1967"/>
      <c r="AI123" s="1967"/>
      <c r="AJ123" s="1967"/>
      <c r="AK123" s="1967"/>
      <c r="AL123" s="1967"/>
      <c r="AM123" s="680"/>
      <c r="AR123" s="218"/>
    </row>
    <row r="124" spans="1:44" hidden="1" outlineLevel="2">
      <c r="A124" s="8"/>
      <c r="B124" s="7"/>
      <c r="C124" s="1906"/>
      <c r="D124" s="1907"/>
      <c r="E124" s="188"/>
      <c r="F124" s="188"/>
      <c r="G124" s="188"/>
      <c r="H124" s="188"/>
      <c r="I124" s="188"/>
      <c r="J124" s="188"/>
      <c r="K124" s="188"/>
      <c r="L124" s="188"/>
      <c r="M124" s="188"/>
      <c r="N124" s="188"/>
      <c r="O124" s="188"/>
      <c r="P124" s="188"/>
      <c r="Q124" s="711"/>
      <c r="R124" s="712"/>
      <c r="AE124" s="632"/>
      <c r="AF124" s="713"/>
      <c r="AG124" s="713"/>
      <c r="AH124" s="1967"/>
      <c r="AI124" s="1967"/>
      <c r="AJ124" s="1967"/>
      <c r="AK124" s="1967"/>
      <c r="AL124" s="1967"/>
      <c r="AM124" s="680"/>
      <c r="AR124" s="218"/>
    </row>
    <row r="125" spans="1:44" hidden="1" outlineLevel="2">
      <c r="A125" s="8"/>
      <c r="B125" s="7"/>
      <c r="C125" s="1906"/>
      <c r="D125" s="1907"/>
      <c r="E125" s="188"/>
      <c r="F125" s="188"/>
      <c r="G125" s="188"/>
      <c r="H125" s="188"/>
      <c r="I125" s="188"/>
      <c r="J125" s="188"/>
      <c r="K125" s="188"/>
      <c r="L125" s="188"/>
      <c r="M125" s="188"/>
      <c r="N125" s="188"/>
      <c r="O125" s="188"/>
      <c r="P125" s="188"/>
      <c r="Q125" s="711"/>
      <c r="R125" s="712"/>
      <c r="AE125" s="632"/>
      <c r="AF125" s="713"/>
      <c r="AG125" s="713"/>
      <c r="AH125" s="1967"/>
      <c r="AI125" s="1967"/>
      <c r="AJ125" s="1967"/>
      <c r="AK125" s="1967"/>
      <c r="AL125" s="1967"/>
      <c r="AM125" s="680"/>
      <c r="AR125" s="218"/>
    </row>
    <row r="126" spans="1:44" ht="15" hidden="1" outlineLevel="2" thickBot="1">
      <c r="A126" s="8"/>
      <c r="B126" s="7"/>
      <c r="C126" s="1999"/>
      <c r="D126" s="2000"/>
      <c r="E126" s="661"/>
      <c r="F126" s="661"/>
      <c r="G126" s="661"/>
      <c r="H126" s="661"/>
      <c r="I126" s="661"/>
      <c r="J126" s="661"/>
      <c r="K126" s="661"/>
      <c r="L126" s="661"/>
      <c r="M126" s="661"/>
      <c r="N126" s="661"/>
      <c r="O126" s="661"/>
      <c r="P126" s="661"/>
      <c r="Q126" s="714"/>
      <c r="R126" s="712"/>
      <c r="AE126" s="680"/>
      <c r="AF126" s="680"/>
      <c r="AG126" s="703"/>
      <c r="AH126" s="630"/>
      <c r="AI126" s="630"/>
      <c r="AJ126" s="630"/>
      <c r="AK126" s="630"/>
      <c r="AL126" s="630"/>
      <c r="AR126" s="218"/>
    </row>
    <row r="127" spans="1:44" hidden="1" outlineLevel="2">
      <c r="A127" s="8"/>
      <c r="B127" s="7"/>
      <c r="C127" s="7"/>
      <c r="D127" s="7"/>
      <c r="E127" s="7"/>
      <c r="F127" s="7"/>
      <c r="G127" s="7"/>
      <c r="H127" s="7"/>
      <c r="I127" s="7"/>
      <c r="J127" s="7"/>
      <c r="K127" s="7"/>
      <c r="L127" s="7"/>
      <c r="M127" s="7"/>
      <c r="N127" s="7"/>
      <c r="O127" s="7"/>
      <c r="P127" s="7"/>
      <c r="Q127" s="715"/>
      <c r="R127" s="712"/>
      <c r="AE127" s="680"/>
      <c r="AF127" s="680"/>
      <c r="AG127" s="680"/>
      <c r="AH127" s="1967"/>
      <c r="AI127" s="1967"/>
      <c r="AJ127" s="1967"/>
      <c r="AK127" s="1967"/>
      <c r="AL127" s="1967"/>
      <c r="AM127" s="680"/>
      <c r="AR127" s="218"/>
    </row>
    <row r="128" spans="1:44" ht="15" hidden="1" customHeight="1" outlineLevel="2">
      <c r="A128" s="8"/>
      <c r="B128" s="7"/>
      <c r="C128" s="1115" t="s">
        <v>1510</v>
      </c>
      <c r="D128" s="716"/>
      <c r="E128" s="716"/>
      <c r="F128" s="716"/>
      <c r="G128" s="716"/>
      <c r="H128" s="716"/>
      <c r="I128" s="716"/>
      <c r="J128" s="716"/>
      <c r="K128" s="716"/>
      <c r="L128" s="716"/>
      <c r="M128" s="716"/>
      <c r="N128" s="7"/>
      <c r="O128" s="7"/>
      <c r="P128" s="7"/>
      <c r="Q128" s="715"/>
      <c r="R128" s="712"/>
      <c r="AE128" s="680"/>
      <c r="AF128" s="680"/>
      <c r="AG128" s="680"/>
      <c r="AH128" s="1968"/>
      <c r="AI128" s="1968"/>
      <c r="AJ128" s="1968"/>
      <c r="AK128" s="1968"/>
      <c r="AL128" s="1968"/>
      <c r="AR128" s="218"/>
    </row>
    <row r="129" spans="1:44" ht="28.5" hidden="1" customHeight="1" outlineLevel="2">
      <c r="A129" s="8"/>
      <c r="B129" s="7"/>
      <c r="C129" s="1888" t="s">
        <v>1426</v>
      </c>
      <c r="D129" s="1888"/>
      <c r="E129" s="1888"/>
      <c r="F129" s="1888"/>
      <c r="G129" s="1888"/>
      <c r="H129" s="1888"/>
      <c r="I129" s="1888"/>
      <c r="J129" s="1888"/>
      <c r="K129" s="1888"/>
      <c r="L129" s="1888"/>
      <c r="M129" s="1888"/>
      <c r="N129" s="1888"/>
      <c r="O129" s="1888"/>
      <c r="P129" s="1888"/>
      <c r="Q129" s="8"/>
      <c r="R129" s="712"/>
      <c r="AE129" s="680"/>
      <c r="AF129" s="680"/>
      <c r="AG129" s="680"/>
      <c r="AH129" s="1968"/>
      <c r="AI129" s="1968"/>
      <c r="AJ129" s="1968"/>
      <c r="AK129" s="1968"/>
      <c r="AL129" s="1968"/>
      <c r="AM129" s="680"/>
      <c r="AR129" s="218"/>
    </row>
    <row r="130" spans="1:44" ht="15" hidden="1" outlineLevel="2" thickBot="1">
      <c r="A130" s="8"/>
      <c r="B130" s="7"/>
      <c r="C130" s="618" t="s">
        <v>1427</v>
      </c>
      <c r="D130" s="7"/>
      <c r="E130" s="7"/>
      <c r="F130" s="7"/>
      <c r="G130" s="7"/>
      <c r="H130" s="7"/>
      <c r="I130" s="7"/>
      <c r="J130" s="7"/>
      <c r="K130" s="7"/>
      <c r="L130" s="7"/>
      <c r="M130" s="7"/>
      <c r="N130" s="7"/>
      <c r="O130" s="7"/>
      <c r="P130" s="7"/>
      <c r="Q130" s="8"/>
      <c r="R130" s="712"/>
      <c r="AE130" s="632"/>
      <c r="AF130" s="713"/>
      <c r="AG130" s="713"/>
      <c r="AH130" s="1968"/>
      <c r="AI130" s="1968"/>
      <c r="AJ130" s="1968"/>
      <c r="AK130" s="1968"/>
      <c r="AL130" s="1968"/>
      <c r="AM130" s="680"/>
      <c r="AR130" s="218"/>
    </row>
    <row r="131" spans="1:44" hidden="1" outlineLevel="2">
      <c r="A131" s="8"/>
      <c r="B131" s="7"/>
      <c r="C131" s="1975" t="s">
        <v>1428</v>
      </c>
      <c r="D131" s="1941" t="s">
        <v>1425</v>
      </c>
      <c r="E131" s="1941"/>
      <c r="F131" s="1941"/>
      <c r="G131" s="1941"/>
      <c r="H131" s="1941"/>
      <c r="I131" s="1941"/>
      <c r="J131" s="1941"/>
      <c r="K131" s="1941"/>
      <c r="L131" s="1941"/>
      <c r="M131" s="1941"/>
      <c r="N131" s="1941"/>
      <c r="O131" s="1941"/>
      <c r="P131" s="1971" t="s">
        <v>1078</v>
      </c>
      <c r="Q131" s="1973" t="s">
        <v>1077</v>
      </c>
      <c r="R131" s="712"/>
      <c r="AE131" s="632"/>
      <c r="AF131" s="713"/>
      <c r="AG131" s="713"/>
      <c r="AH131" s="1968"/>
      <c r="AI131" s="1968"/>
      <c r="AJ131" s="1968"/>
      <c r="AK131" s="1968"/>
      <c r="AL131" s="1968"/>
      <c r="AM131" s="680"/>
      <c r="AR131" s="218"/>
    </row>
    <row r="132" spans="1:44" ht="29.25" hidden="1" customHeight="1" outlineLevel="2">
      <c r="A132" s="8"/>
      <c r="B132" s="7"/>
      <c r="C132" s="1976"/>
      <c r="D132" s="717" t="s">
        <v>684</v>
      </c>
      <c r="E132" s="717" t="s">
        <v>685</v>
      </c>
      <c r="F132" s="717" t="s">
        <v>686</v>
      </c>
      <c r="G132" s="717" t="s">
        <v>687</v>
      </c>
      <c r="H132" s="717" t="s">
        <v>688</v>
      </c>
      <c r="I132" s="717" t="s">
        <v>689</v>
      </c>
      <c r="J132" s="717" t="s">
        <v>690</v>
      </c>
      <c r="K132" s="717" t="s">
        <v>691</v>
      </c>
      <c r="L132" s="717" t="s">
        <v>692</v>
      </c>
      <c r="M132" s="717" t="s">
        <v>693</v>
      </c>
      <c r="N132" s="717" t="s">
        <v>694</v>
      </c>
      <c r="O132" s="717" t="s">
        <v>695</v>
      </c>
      <c r="P132" s="1972"/>
      <c r="Q132" s="1974"/>
      <c r="R132" s="712"/>
      <c r="AE132" s="632"/>
      <c r="AF132" s="713"/>
      <c r="AG132" s="713"/>
      <c r="AH132" s="1968"/>
      <c r="AI132" s="1968"/>
      <c r="AJ132" s="1968"/>
      <c r="AK132" s="1968"/>
      <c r="AL132" s="1968"/>
      <c r="AM132" s="680"/>
      <c r="AR132" s="218"/>
    </row>
    <row r="133" spans="1:44" ht="26.25" hidden="1" customHeight="1" outlineLevel="2">
      <c r="A133" s="8"/>
      <c r="B133" s="7"/>
      <c r="C133" s="718"/>
      <c r="D133" s="719"/>
      <c r="E133" s="720"/>
      <c r="F133" s="720"/>
      <c r="G133" s="720"/>
      <c r="H133" s="720"/>
      <c r="I133" s="720"/>
      <c r="J133" s="720"/>
      <c r="K133" s="720"/>
      <c r="L133" s="720"/>
      <c r="M133" s="720"/>
      <c r="N133" s="719"/>
      <c r="O133" s="719"/>
      <c r="P133" s="721"/>
      <c r="Q133" s="710"/>
      <c r="R133" s="712"/>
      <c r="AE133" s="632"/>
      <c r="AF133" s="713"/>
      <c r="AG133" s="713"/>
      <c r="AH133" s="1968"/>
      <c r="AI133" s="1968"/>
      <c r="AJ133" s="1968"/>
      <c r="AK133" s="1968"/>
      <c r="AL133" s="1968"/>
      <c r="AM133" s="680"/>
      <c r="AR133" s="218"/>
    </row>
    <row r="134" spans="1:44" hidden="1" outlineLevel="2">
      <c r="A134" s="8"/>
      <c r="B134" s="7"/>
      <c r="C134" s="718"/>
      <c r="D134" s="719"/>
      <c r="E134" s="719"/>
      <c r="F134" s="719"/>
      <c r="G134" s="719"/>
      <c r="H134" s="719"/>
      <c r="I134" s="719"/>
      <c r="J134" s="719"/>
      <c r="K134" s="719"/>
      <c r="L134" s="719"/>
      <c r="M134" s="719"/>
      <c r="N134" s="719"/>
      <c r="O134" s="719"/>
      <c r="P134" s="721"/>
      <c r="Q134" s="711"/>
      <c r="R134" s="712"/>
      <c r="AE134" s="632"/>
      <c r="AF134" s="713"/>
      <c r="AG134" s="713"/>
      <c r="AH134" s="1968"/>
      <c r="AI134" s="1968"/>
      <c r="AJ134" s="1968"/>
      <c r="AK134" s="1968"/>
      <c r="AL134" s="1968"/>
      <c r="AM134" s="680"/>
      <c r="AR134" s="218"/>
    </row>
    <row r="135" spans="1:44" hidden="1" outlineLevel="2">
      <c r="A135" s="8"/>
      <c r="B135" s="7"/>
      <c r="C135" s="718"/>
      <c r="D135" s="719"/>
      <c r="E135" s="720"/>
      <c r="F135" s="720"/>
      <c r="G135" s="720"/>
      <c r="H135" s="720"/>
      <c r="I135" s="720"/>
      <c r="J135" s="720"/>
      <c r="K135" s="720"/>
      <c r="L135" s="720"/>
      <c r="M135" s="720"/>
      <c r="N135" s="719"/>
      <c r="O135" s="719"/>
      <c r="P135" s="721"/>
      <c r="Q135" s="711"/>
      <c r="R135" s="712"/>
      <c r="AE135" s="632"/>
      <c r="AF135" s="713"/>
      <c r="AG135" s="713"/>
      <c r="AH135" s="1968"/>
      <c r="AI135" s="1968"/>
      <c r="AJ135" s="1968"/>
      <c r="AK135" s="1968"/>
      <c r="AL135" s="1968"/>
      <c r="AM135" s="680"/>
      <c r="AR135" s="218"/>
    </row>
    <row r="136" spans="1:44" hidden="1" outlineLevel="2">
      <c r="A136" s="8"/>
      <c r="B136" s="7"/>
      <c r="C136" s="718"/>
      <c r="D136" s="719"/>
      <c r="E136" s="719"/>
      <c r="F136" s="719"/>
      <c r="G136" s="719"/>
      <c r="H136" s="719"/>
      <c r="I136" s="719"/>
      <c r="J136" s="719"/>
      <c r="K136" s="719"/>
      <c r="L136" s="719"/>
      <c r="M136" s="719"/>
      <c r="N136" s="719"/>
      <c r="O136" s="719"/>
      <c r="P136" s="721"/>
      <c r="Q136" s="711"/>
      <c r="R136" s="712"/>
      <c r="AR136" s="218"/>
    </row>
    <row r="137" spans="1:44" hidden="1" outlineLevel="2">
      <c r="A137" s="8"/>
      <c r="B137" s="7"/>
      <c r="C137" s="718"/>
      <c r="D137" s="719"/>
      <c r="E137" s="719"/>
      <c r="F137" s="719"/>
      <c r="G137" s="719"/>
      <c r="H137" s="719"/>
      <c r="I137" s="719"/>
      <c r="J137" s="719"/>
      <c r="K137" s="719"/>
      <c r="L137" s="719"/>
      <c r="M137" s="719"/>
      <c r="N137" s="719"/>
      <c r="O137" s="719"/>
      <c r="P137" s="721"/>
      <c r="Q137" s="711"/>
      <c r="R137" s="712"/>
      <c r="AR137" s="218"/>
    </row>
    <row r="138" spans="1:44" hidden="1" outlineLevel="2">
      <c r="A138" s="8"/>
      <c r="B138" s="7"/>
      <c r="C138" s="718"/>
      <c r="D138" s="719"/>
      <c r="E138" s="719"/>
      <c r="F138" s="719"/>
      <c r="G138" s="719"/>
      <c r="H138" s="719"/>
      <c r="I138" s="719"/>
      <c r="J138" s="719"/>
      <c r="K138" s="719"/>
      <c r="L138" s="719"/>
      <c r="M138" s="719"/>
      <c r="N138" s="719"/>
      <c r="O138" s="719"/>
      <c r="P138" s="721"/>
      <c r="Q138" s="711"/>
      <c r="R138" s="712"/>
      <c r="AR138" s="218"/>
    </row>
    <row r="139" spans="1:44" hidden="1" outlineLevel="2">
      <c r="A139" s="8"/>
      <c r="B139" s="7"/>
      <c r="C139" s="718"/>
      <c r="D139" s="719"/>
      <c r="E139" s="720"/>
      <c r="F139" s="720"/>
      <c r="G139" s="720"/>
      <c r="H139" s="720"/>
      <c r="I139" s="720"/>
      <c r="J139" s="720"/>
      <c r="K139" s="720"/>
      <c r="L139" s="720"/>
      <c r="M139" s="720"/>
      <c r="N139" s="719"/>
      <c r="O139" s="719"/>
      <c r="P139" s="721"/>
      <c r="Q139" s="711"/>
      <c r="R139" s="712"/>
      <c r="AR139" s="218"/>
    </row>
    <row r="140" spans="1:44" hidden="1" outlineLevel="2">
      <c r="A140" s="8"/>
      <c r="B140" s="7"/>
      <c r="C140" s="718"/>
      <c r="D140" s="719"/>
      <c r="E140" s="720"/>
      <c r="F140" s="720"/>
      <c r="G140" s="720"/>
      <c r="H140" s="720"/>
      <c r="I140" s="720"/>
      <c r="J140" s="720"/>
      <c r="K140" s="720"/>
      <c r="L140" s="720"/>
      <c r="M140" s="720"/>
      <c r="N140" s="719"/>
      <c r="O140" s="719"/>
      <c r="P140" s="721"/>
      <c r="Q140" s="711"/>
      <c r="R140" s="712"/>
      <c r="AR140" s="218"/>
    </row>
    <row r="141" spans="1:44" hidden="1" outlineLevel="2">
      <c r="A141" s="8"/>
      <c r="B141" s="7"/>
      <c r="C141" s="718"/>
      <c r="D141" s="719"/>
      <c r="E141" s="720"/>
      <c r="F141" s="720"/>
      <c r="G141" s="720"/>
      <c r="H141" s="720"/>
      <c r="I141" s="720"/>
      <c r="J141" s="720"/>
      <c r="K141" s="720"/>
      <c r="L141" s="720"/>
      <c r="M141" s="720"/>
      <c r="N141" s="719"/>
      <c r="O141" s="719"/>
      <c r="P141" s="721"/>
      <c r="Q141" s="711"/>
      <c r="R141" s="712"/>
      <c r="AR141" s="218"/>
    </row>
    <row r="142" spans="1:44" hidden="1" outlineLevel="2">
      <c r="A142" s="8"/>
      <c r="B142" s="7"/>
      <c r="C142" s="718"/>
      <c r="D142" s="719"/>
      <c r="E142" s="720"/>
      <c r="F142" s="720"/>
      <c r="G142" s="720"/>
      <c r="H142" s="720"/>
      <c r="I142" s="720"/>
      <c r="J142" s="720"/>
      <c r="K142" s="720"/>
      <c r="L142" s="720"/>
      <c r="M142" s="720"/>
      <c r="N142" s="719"/>
      <c r="O142" s="719"/>
      <c r="P142" s="721"/>
      <c r="Q142" s="711"/>
      <c r="R142" s="712"/>
      <c r="AR142" s="218"/>
    </row>
    <row r="143" spans="1:44" hidden="1" outlineLevel="2">
      <c r="A143" s="8"/>
      <c r="B143" s="7"/>
      <c r="C143" s="718"/>
      <c r="D143" s="719"/>
      <c r="E143" s="720"/>
      <c r="F143" s="720"/>
      <c r="G143" s="720"/>
      <c r="H143" s="720"/>
      <c r="I143" s="720"/>
      <c r="J143" s="720"/>
      <c r="K143" s="720"/>
      <c r="L143" s="720"/>
      <c r="M143" s="720"/>
      <c r="N143" s="719"/>
      <c r="O143" s="719"/>
      <c r="P143" s="721"/>
      <c r="Q143" s="711"/>
      <c r="R143" s="712"/>
      <c r="AR143" s="218"/>
    </row>
    <row r="144" spans="1:44" hidden="1" outlineLevel="2">
      <c r="A144" s="8"/>
      <c r="B144" s="7"/>
      <c r="C144" s="718"/>
      <c r="D144" s="719"/>
      <c r="E144" s="720"/>
      <c r="F144" s="720"/>
      <c r="G144" s="720"/>
      <c r="H144" s="720"/>
      <c r="I144" s="720"/>
      <c r="J144" s="720"/>
      <c r="K144" s="720"/>
      <c r="L144" s="720"/>
      <c r="M144" s="720"/>
      <c r="N144" s="719"/>
      <c r="O144" s="719"/>
      <c r="P144" s="721"/>
      <c r="Q144" s="711"/>
      <c r="R144" s="712"/>
      <c r="AR144" s="218"/>
    </row>
    <row r="145" spans="1:61" hidden="1" outlineLevel="2">
      <c r="A145" s="8"/>
      <c r="B145" s="7"/>
      <c r="C145" s="718"/>
      <c r="D145" s="719"/>
      <c r="E145" s="720"/>
      <c r="F145" s="720"/>
      <c r="G145" s="720"/>
      <c r="H145" s="720"/>
      <c r="I145" s="720"/>
      <c r="J145" s="720"/>
      <c r="K145" s="720"/>
      <c r="L145" s="720"/>
      <c r="M145" s="720"/>
      <c r="N145" s="719"/>
      <c r="O145" s="719"/>
      <c r="P145" s="721"/>
      <c r="Q145" s="711"/>
      <c r="R145" s="712"/>
      <c r="AR145" s="218"/>
    </row>
    <row r="146" spans="1:61" hidden="1" outlineLevel="2">
      <c r="A146" s="8"/>
      <c r="B146" s="7"/>
      <c r="C146" s="718"/>
      <c r="D146" s="719"/>
      <c r="E146" s="720"/>
      <c r="F146" s="720"/>
      <c r="G146" s="720"/>
      <c r="H146" s="720"/>
      <c r="I146" s="720"/>
      <c r="J146" s="720"/>
      <c r="K146" s="720"/>
      <c r="L146" s="720"/>
      <c r="M146" s="720"/>
      <c r="N146" s="719"/>
      <c r="O146" s="719"/>
      <c r="P146" s="721"/>
      <c r="Q146" s="711"/>
      <c r="R146" s="712"/>
      <c r="AR146" s="218"/>
    </row>
    <row r="147" spans="1:61" ht="15" hidden="1" outlineLevel="2" thickBot="1">
      <c r="A147" s="8"/>
      <c r="B147" s="7"/>
      <c r="C147" s="722"/>
      <c r="D147" s="723"/>
      <c r="E147" s="724"/>
      <c r="F147" s="724"/>
      <c r="G147" s="724"/>
      <c r="H147" s="724"/>
      <c r="I147" s="724"/>
      <c r="J147" s="724"/>
      <c r="K147" s="724"/>
      <c r="L147" s="724"/>
      <c r="M147" s="724"/>
      <c r="N147" s="723"/>
      <c r="O147" s="723"/>
      <c r="P147" s="725"/>
      <c r="Q147" s="714"/>
      <c r="R147" s="712"/>
      <c r="AR147" s="218"/>
    </row>
    <row r="148" spans="1:61" hidden="1" outlineLevel="2">
      <c r="A148" s="8"/>
      <c r="B148" s="7"/>
      <c r="C148" s="726"/>
      <c r="D148" s="727"/>
      <c r="E148" s="728"/>
      <c r="F148" s="728"/>
      <c r="G148" s="728"/>
      <c r="H148" s="728"/>
      <c r="I148" s="728"/>
      <c r="J148" s="728"/>
      <c r="K148" s="728"/>
      <c r="L148" s="728"/>
      <c r="M148" s="728"/>
      <c r="N148" s="727"/>
      <c r="O148" s="727"/>
      <c r="P148" s="729"/>
      <c r="Q148" s="715"/>
      <c r="R148" s="712"/>
      <c r="AR148" s="218"/>
    </row>
    <row r="149" spans="1:61" outlineLevel="1" collapsed="1">
      <c r="B149" s="6"/>
      <c r="C149" s="730"/>
      <c r="D149" s="731"/>
      <c r="E149" s="7"/>
      <c r="F149" s="7"/>
      <c r="G149" s="7"/>
      <c r="H149" s="7"/>
      <c r="I149" s="7"/>
      <c r="J149" s="7"/>
      <c r="K149" s="7"/>
      <c r="L149" s="7"/>
      <c r="M149" s="7"/>
      <c r="N149" s="7"/>
      <c r="O149" s="7"/>
      <c r="P149" s="712"/>
      <c r="Q149" s="715"/>
      <c r="R149" s="712"/>
      <c r="AR149" s="218"/>
    </row>
    <row r="150" spans="1:61" ht="15.6" outlineLevel="1">
      <c r="A150" s="8"/>
      <c r="B150" s="1722" t="s">
        <v>490</v>
      </c>
      <c r="C150" s="1723"/>
      <c r="D150" s="1723"/>
      <c r="E150" s="1723"/>
      <c r="F150" s="1723"/>
      <c r="G150" s="1723"/>
      <c r="H150" s="1723"/>
      <c r="I150" s="1723"/>
      <c r="J150" s="1723"/>
      <c r="K150" s="1723"/>
      <c r="L150" s="1723"/>
      <c r="M150" s="1723"/>
      <c r="N150" s="1723"/>
      <c r="O150" s="1723"/>
      <c r="P150" s="1723"/>
      <c r="Q150" s="1724"/>
      <c r="R150" s="712"/>
      <c r="AE150" s="732"/>
      <c r="AR150" s="218"/>
    </row>
    <row r="151" spans="1:61" outlineLevel="1">
      <c r="B151" s="620"/>
      <c r="C151" s="576"/>
      <c r="D151" s="576"/>
      <c r="E151" s="576"/>
      <c r="F151" s="576"/>
      <c r="G151" s="576"/>
      <c r="H151" s="576"/>
      <c r="I151" s="576"/>
      <c r="J151" s="576"/>
      <c r="K151" s="576"/>
      <c r="L151" s="576"/>
      <c r="M151" s="576"/>
      <c r="N151" s="576"/>
      <c r="O151" s="576"/>
      <c r="P151" s="576"/>
      <c r="Q151" s="640"/>
    </row>
    <row r="152" spans="1:61" s="733" customFormat="1" ht="16.2" outlineLevel="1" thickBot="1">
      <c r="A152" s="5"/>
      <c r="B152" s="6"/>
      <c r="C152" s="93" t="s">
        <v>0</v>
      </c>
      <c r="D152" s="93"/>
      <c r="E152" s="93"/>
      <c r="F152" s="93"/>
      <c r="G152" s="93"/>
      <c r="H152" s="93"/>
      <c r="I152" s="93"/>
      <c r="J152" s="93"/>
      <c r="K152" s="93"/>
      <c r="L152" s="93"/>
      <c r="M152" s="93"/>
      <c r="N152" s="93"/>
      <c r="O152" s="93"/>
      <c r="P152" s="7"/>
      <c r="Q152" s="8"/>
      <c r="R152" s="5"/>
      <c r="S152" s="5"/>
      <c r="T152" s="5"/>
      <c r="U152" s="5"/>
      <c r="V152" s="5"/>
      <c r="W152" s="5"/>
      <c r="X152" s="5"/>
      <c r="Y152" s="5"/>
      <c r="Z152" s="5"/>
      <c r="AA152" s="5"/>
      <c r="AB152" s="5"/>
      <c r="AC152" s="5"/>
      <c r="AD152" s="5"/>
      <c r="AE152" s="451"/>
      <c r="AF152" s="451"/>
      <c r="AG152" s="451"/>
      <c r="AH152" s="451"/>
      <c r="AI152" s="451"/>
      <c r="AJ152" s="451"/>
      <c r="AK152" s="451"/>
      <c r="AL152" s="451"/>
      <c r="AM152" s="451"/>
      <c r="AN152" s="451"/>
      <c r="AO152" s="5"/>
      <c r="AP152" s="5"/>
      <c r="AQ152" s="5"/>
      <c r="AR152" s="5"/>
      <c r="AS152" s="5"/>
      <c r="AT152" s="5"/>
      <c r="AU152" s="5"/>
      <c r="AV152" s="5"/>
      <c r="AW152" s="5"/>
      <c r="AX152" s="5"/>
      <c r="AY152" s="5"/>
      <c r="AZ152" s="5"/>
      <c r="BA152" s="5"/>
      <c r="BB152" s="5"/>
      <c r="BC152" s="5"/>
      <c r="BD152" s="5"/>
      <c r="BE152" s="5"/>
      <c r="BF152" s="5"/>
      <c r="BG152" s="5"/>
      <c r="BH152" s="5"/>
      <c r="BI152" s="5"/>
    </row>
    <row r="153" spans="1:61" ht="18" hidden="1" outlineLevel="2">
      <c r="B153" s="6"/>
      <c r="C153" s="1969" t="s">
        <v>1532</v>
      </c>
      <c r="D153" s="1970"/>
      <c r="E153" s="1977" t="str">
        <f>IFERROR(IF($K$85="Dependência e Impacto",'Apoio Regulação de Polinização'!O122,""),"-")</f>
        <v/>
      </c>
      <c r="F153" s="1977"/>
      <c r="G153" s="1270"/>
      <c r="H153" s="7"/>
      <c r="I153" s="7"/>
      <c r="J153" s="7"/>
      <c r="K153" s="7"/>
      <c r="L153" s="7"/>
      <c r="M153" s="7"/>
      <c r="N153" s="7"/>
      <c r="O153" s="7"/>
      <c r="P153" s="93"/>
      <c r="Q153" s="8"/>
    </row>
    <row r="154" spans="1:61" ht="16.2" hidden="1" outlineLevel="2" thickBot="1">
      <c r="B154" s="6"/>
      <c r="C154" s="1271" t="s">
        <v>1058</v>
      </c>
      <c r="D154" s="1272"/>
      <c r="E154" s="1998" t="str">
        <f>IFERROR(IF(E153="","",K89*K88*K90*E153),"-")</f>
        <v/>
      </c>
      <c r="F154" s="1998"/>
      <c r="G154" s="1273" t="s">
        <v>13</v>
      </c>
      <c r="H154" s="7"/>
      <c r="I154" s="7"/>
      <c r="J154" s="7"/>
      <c r="K154" s="7"/>
      <c r="L154" s="7"/>
      <c r="M154" s="7"/>
      <c r="N154" s="7"/>
      <c r="O154" s="7"/>
      <c r="P154" s="7"/>
      <c r="Q154" s="8"/>
    </row>
    <row r="155" spans="1:61" s="56" customFormat="1" ht="15.6" hidden="1" outlineLevel="2">
      <c r="B155" s="58"/>
      <c r="C155" s="663"/>
      <c r="D155" s="665"/>
      <c r="E155" s="665"/>
      <c r="F155" s="665"/>
      <c r="G155" s="7"/>
      <c r="H155" s="7"/>
      <c r="I155" s="7"/>
      <c r="J155" s="7"/>
      <c r="K155" s="7"/>
      <c r="L155" s="7"/>
      <c r="M155" s="7"/>
      <c r="N155" s="7"/>
      <c r="O155" s="7"/>
      <c r="P155" s="7"/>
      <c r="Q155" s="734"/>
      <c r="R155" s="735"/>
      <c r="S155" s="735"/>
      <c r="T155" s="735"/>
      <c r="U155" s="735"/>
      <c r="V155" s="735"/>
      <c r="W155" s="735"/>
      <c r="X155" s="735"/>
      <c r="Y155" s="735"/>
      <c r="AE155" s="57"/>
      <c r="AF155" s="57"/>
      <c r="AG155" s="57"/>
      <c r="AH155" s="57"/>
      <c r="AI155" s="57"/>
      <c r="AJ155" s="57"/>
      <c r="AK155" s="57"/>
      <c r="AL155" s="57"/>
      <c r="AM155" s="57"/>
      <c r="AN155" s="57"/>
    </row>
    <row r="156" spans="1:61" ht="15.6" hidden="1" outlineLevel="2">
      <c r="B156" s="6"/>
      <c r="C156" s="650" t="s">
        <v>1080</v>
      </c>
      <c r="D156" s="7"/>
      <c r="E156" s="618"/>
      <c r="F156" s="618"/>
      <c r="G156" s="618"/>
      <c r="H156" s="618"/>
      <c r="I156" s="618"/>
      <c r="J156" s="618"/>
      <c r="K156" s="618"/>
      <c r="L156" s="618"/>
      <c r="M156" s="618"/>
      <c r="N156" s="618"/>
      <c r="O156" s="618"/>
      <c r="P156" s="7"/>
      <c r="Q156" s="8"/>
    </row>
    <row r="157" spans="1:61" ht="16.2" hidden="1" outlineLevel="2" thickBot="1">
      <c r="B157" s="6"/>
      <c r="C157" s="645" t="s">
        <v>1429</v>
      </c>
      <c r="D157" s="651"/>
      <c r="E157" s="618"/>
      <c r="F157" s="618"/>
      <c r="G157" s="618"/>
      <c r="H157" s="618"/>
      <c r="I157" s="618"/>
      <c r="J157" s="618"/>
      <c r="K157" s="618"/>
      <c r="L157" s="618"/>
      <c r="M157" s="618"/>
      <c r="N157" s="618"/>
      <c r="O157" s="618"/>
      <c r="P157" s="7"/>
      <c r="Q157" s="8"/>
    </row>
    <row r="158" spans="1:61" ht="15.75" hidden="1" customHeight="1" outlineLevel="2">
      <c r="B158" s="6"/>
      <c r="C158" s="1903" t="s">
        <v>1055</v>
      </c>
      <c r="D158" s="1918" t="s">
        <v>1054</v>
      </c>
      <c r="E158" s="1919"/>
      <c r="F158" s="1919"/>
      <c r="G158" s="1919"/>
      <c r="H158" s="1919"/>
      <c r="I158" s="1919"/>
      <c r="J158" s="1919"/>
      <c r="K158" s="1919"/>
      <c r="L158" s="1919"/>
      <c r="M158" s="1919"/>
      <c r="N158" s="1855"/>
      <c r="O158" s="1916" t="s">
        <v>1533</v>
      </c>
      <c r="P158" s="7"/>
      <c r="Q158" s="8"/>
    </row>
    <row r="159" spans="1:61" ht="15.6" hidden="1" outlineLevel="2">
      <c r="B159" s="6"/>
      <c r="C159" s="1904"/>
      <c r="D159" s="736" t="s">
        <v>1430</v>
      </c>
      <c r="E159" s="737">
        <v>1</v>
      </c>
      <c r="F159" s="737">
        <v>2</v>
      </c>
      <c r="G159" s="737">
        <v>3</v>
      </c>
      <c r="H159" s="737">
        <v>4</v>
      </c>
      <c r="I159" s="737">
        <v>5</v>
      </c>
      <c r="J159" s="737">
        <v>6</v>
      </c>
      <c r="K159" s="737">
        <v>7</v>
      </c>
      <c r="L159" s="737">
        <v>8</v>
      </c>
      <c r="M159" s="737">
        <v>9</v>
      </c>
      <c r="N159" s="737">
        <v>10</v>
      </c>
      <c r="O159" s="1917"/>
      <c r="P159" s="451"/>
      <c r="Q159" s="8"/>
    </row>
    <row r="160" spans="1:61" ht="15.6" hidden="1" outlineLevel="2">
      <c r="B160" s="6"/>
      <c r="C160" s="657"/>
      <c r="D160" s="658">
        <v>1</v>
      </c>
      <c r="E160" s="188"/>
      <c r="F160" s="188"/>
      <c r="G160" s="188"/>
      <c r="H160" s="188"/>
      <c r="I160" s="188"/>
      <c r="J160" s="188"/>
      <c r="K160" s="188"/>
      <c r="L160" s="188"/>
      <c r="M160" s="188"/>
      <c r="N160" s="188"/>
      <c r="O160" s="1274">
        <f>SUM(E160:N160)</f>
        <v>0</v>
      </c>
      <c r="P160" s="630"/>
      <c r="Q160" s="8"/>
    </row>
    <row r="161" spans="2:40" ht="15.75" hidden="1" customHeight="1" outlineLevel="2">
      <c r="B161" s="6"/>
      <c r="C161" s="657"/>
      <c r="D161" s="658">
        <v>2</v>
      </c>
      <c r="E161" s="188"/>
      <c r="F161" s="188"/>
      <c r="G161" s="188"/>
      <c r="H161" s="188"/>
      <c r="I161" s="188"/>
      <c r="J161" s="188"/>
      <c r="K161" s="188"/>
      <c r="L161" s="188"/>
      <c r="M161" s="188"/>
      <c r="N161" s="188"/>
      <c r="O161" s="1274">
        <f t="shared" ref="O161:O169" si="2">SUM(E161:N161)</f>
        <v>0</v>
      </c>
      <c r="P161" s="695"/>
      <c r="Q161" s="17"/>
      <c r="R161" s="451"/>
      <c r="S161" s="451"/>
      <c r="T161" s="451"/>
      <c r="U161" s="451"/>
      <c r="V161" s="451"/>
      <c r="W161" s="451"/>
      <c r="X161" s="451"/>
      <c r="Y161" s="451"/>
      <c r="Z161" s="451"/>
    </row>
    <row r="162" spans="2:40" ht="15.6" hidden="1" outlineLevel="2">
      <c r="B162" s="6"/>
      <c r="C162" s="657"/>
      <c r="D162" s="658">
        <v>3</v>
      </c>
      <c r="E162" s="188"/>
      <c r="F162" s="188"/>
      <c r="G162" s="188"/>
      <c r="H162" s="188"/>
      <c r="I162" s="188"/>
      <c r="J162" s="188"/>
      <c r="K162" s="188"/>
      <c r="L162" s="188"/>
      <c r="M162" s="188"/>
      <c r="N162" s="188"/>
      <c r="O162" s="1274">
        <f t="shared" si="2"/>
        <v>0</v>
      </c>
      <c r="P162" s="738"/>
      <c r="Q162" s="739"/>
      <c r="R162" s="630"/>
      <c r="S162" s="630"/>
      <c r="T162" s="630"/>
      <c r="U162" s="630"/>
      <c r="V162" s="630"/>
      <c r="W162" s="630"/>
      <c r="X162" s="1964"/>
      <c r="Y162" s="1964"/>
      <c r="Z162" s="451"/>
    </row>
    <row r="163" spans="2:40" ht="15" hidden="1" customHeight="1" outlineLevel="2">
      <c r="B163" s="6"/>
      <c r="C163" s="657"/>
      <c r="D163" s="658">
        <v>4</v>
      </c>
      <c r="E163" s="188"/>
      <c r="F163" s="188"/>
      <c r="G163" s="188"/>
      <c r="H163" s="188"/>
      <c r="I163" s="188"/>
      <c r="J163" s="188"/>
      <c r="K163" s="188"/>
      <c r="L163" s="188"/>
      <c r="M163" s="188"/>
      <c r="N163" s="188"/>
      <c r="O163" s="1274">
        <f t="shared" si="2"/>
        <v>0</v>
      </c>
      <c r="P163" s="738"/>
      <c r="Q163" s="740"/>
      <c r="R163" s="1980"/>
      <c r="S163" s="1980"/>
      <c r="T163" s="1980"/>
      <c r="U163" s="1980"/>
      <c r="V163" s="1980"/>
      <c r="W163" s="1980"/>
      <c r="X163" s="1964"/>
      <c r="Y163" s="1964"/>
      <c r="Z163" s="451"/>
    </row>
    <row r="164" spans="2:40" ht="15" hidden="1" customHeight="1" outlineLevel="2">
      <c r="B164" s="6"/>
      <c r="C164" s="657"/>
      <c r="D164" s="658">
        <v>5</v>
      </c>
      <c r="E164" s="188"/>
      <c r="F164" s="188"/>
      <c r="G164" s="188"/>
      <c r="H164" s="188"/>
      <c r="I164" s="188"/>
      <c r="J164" s="188"/>
      <c r="K164" s="188"/>
      <c r="L164" s="188"/>
      <c r="M164" s="188"/>
      <c r="N164" s="188"/>
      <c r="O164" s="1274">
        <f t="shared" si="2"/>
        <v>0</v>
      </c>
      <c r="P164" s="738"/>
      <c r="Q164" s="741"/>
      <c r="R164" s="1978"/>
      <c r="S164" s="1978"/>
      <c r="T164" s="1978"/>
      <c r="U164" s="1978"/>
      <c r="V164" s="1978"/>
      <c r="W164" s="1978"/>
      <c r="X164" s="1979"/>
      <c r="Y164" s="1979"/>
      <c r="Z164" s="451"/>
    </row>
    <row r="165" spans="2:40" ht="15" hidden="1" customHeight="1" outlineLevel="2">
      <c r="B165" s="6"/>
      <c r="C165" s="657"/>
      <c r="D165" s="658">
        <v>6</v>
      </c>
      <c r="E165" s="188"/>
      <c r="F165" s="188"/>
      <c r="G165" s="188"/>
      <c r="H165" s="188"/>
      <c r="I165" s="188"/>
      <c r="J165" s="188"/>
      <c r="K165" s="188"/>
      <c r="L165" s="188"/>
      <c r="M165" s="188"/>
      <c r="N165" s="188"/>
      <c r="O165" s="1274">
        <f t="shared" si="2"/>
        <v>0</v>
      </c>
      <c r="P165" s="738"/>
      <c r="Q165" s="741"/>
      <c r="R165" s="1978"/>
      <c r="S165" s="1978"/>
      <c r="T165" s="1978"/>
      <c r="U165" s="1978"/>
      <c r="V165" s="1978"/>
      <c r="W165" s="1978"/>
      <c r="X165" s="1979"/>
      <c r="Y165" s="1979"/>
      <c r="Z165" s="451"/>
    </row>
    <row r="166" spans="2:40" ht="15" hidden="1" customHeight="1" outlineLevel="2">
      <c r="B166" s="6"/>
      <c r="C166" s="657"/>
      <c r="D166" s="658">
        <v>7</v>
      </c>
      <c r="E166" s="188"/>
      <c r="F166" s="188"/>
      <c r="G166" s="188"/>
      <c r="H166" s="188"/>
      <c r="I166" s="188"/>
      <c r="J166" s="188"/>
      <c r="K166" s="188"/>
      <c r="L166" s="188"/>
      <c r="M166" s="188"/>
      <c r="N166" s="188"/>
      <c r="O166" s="1274">
        <f t="shared" si="2"/>
        <v>0</v>
      </c>
      <c r="P166" s="738"/>
      <c r="Q166" s="741"/>
      <c r="R166" s="1978"/>
      <c r="S166" s="1978"/>
      <c r="T166" s="1978"/>
      <c r="U166" s="1978"/>
      <c r="V166" s="1978"/>
      <c r="W166" s="1978"/>
      <c r="X166" s="1979"/>
      <c r="Y166" s="1979"/>
      <c r="Z166" s="451"/>
    </row>
    <row r="167" spans="2:40" ht="15" hidden="1" customHeight="1" outlineLevel="2">
      <c r="B167" s="6"/>
      <c r="C167" s="657"/>
      <c r="D167" s="658">
        <v>8</v>
      </c>
      <c r="E167" s="188"/>
      <c r="F167" s="188"/>
      <c r="G167" s="188"/>
      <c r="H167" s="188"/>
      <c r="I167" s="188"/>
      <c r="J167" s="188"/>
      <c r="K167" s="188"/>
      <c r="L167" s="188"/>
      <c r="M167" s="188"/>
      <c r="N167" s="188"/>
      <c r="O167" s="1274">
        <f t="shared" si="2"/>
        <v>0</v>
      </c>
      <c r="P167" s="738"/>
      <c r="Q167" s="741"/>
      <c r="R167" s="1978"/>
      <c r="S167" s="1978"/>
      <c r="T167" s="1978"/>
      <c r="U167" s="1978"/>
      <c r="V167" s="1978"/>
      <c r="W167" s="1978"/>
      <c r="X167" s="1979"/>
      <c r="Y167" s="1979"/>
      <c r="Z167" s="451"/>
    </row>
    <row r="168" spans="2:40" ht="15" hidden="1" customHeight="1" outlineLevel="2">
      <c r="B168" s="6"/>
      <c r="C168" s="657"/>
      <c r="D168" s="658">
        <v>9</v>
      </c>
      <c r="E168" s="188"/>
      <c r="F168" s="188"/>
      <c r="G168" s="188"/>
      <c r="H168" s="188"/>
      <c r="I168" s="188"/>
      <c r="J168" s="188"/>
      <c r="K168" s="188"/>
      <c r="L168" s="188"/>
      <c r="M168" s="188"/>
      <c r="N168" s="188"/>
      <c r="O168" s="1274">
        <f t="shared" si="2"/>
        <v>0</v>
      </c>
      <c r="P168" s="738"/>
      <c r="Q168" s="741"/>
      <c r="R168" s="1978"/>
      <c r="S168" s="1978"/>
      <c r="T168" s="1978"/>
      <c r="U168" s="1978"/>
      <c r="V168" s="1978"/>
      <c r="W168" s="1978"/>
      <c r="X168" s="1979"/>
      <c r="Y168" s="1979"/>
      <c r="Z168" s="451"/>
    </row>
    <row r="169" spans="2:40" ht="15" hidden="1" customHeight="1" outlineLevel="2" thickBot="1">
      <c r="B169" s="6"/>
      <c r="C169" s="659"/>
      <c r="D169" s="660">
        <v>10</v>
      </c>
      <c r="E169" s="661"/>
      <c r="F169" s="661"/>
      <c r="G169" s="661"/>
      <c r="H169" s="661"/>
      <c r="I169" s="661"/>
      <c r="J169" s="661"/>
      <c r="K169" s="661"/>
      <c r="L169" s="661"/>
      <c r="M169" s="661"/>
      <c r="N169" s="661"/>
      <c r="O169" s="1275">
        <f t="shared" si="2"/>
        <v>0</v>
      </c>
      <c r="P169" s="738"/>
      <c r="Q169" s="741"/>
      <c r="R169" s="1978"/>
      <c r="S169" s="1978"/>
      <c r="T169" s="1978"/>
      <c r="U169" s="1978"/>
      <c r="V169" s="1978"/>
      <c r="W169" s="1978"/>
      <c r="X169" s="1979"/>
      <c r="Y169" s="1979"/>
      <c r="Z169" s="451"/>
    </row>
    <row r="170" spans="2:40" ht="15" customHeight="1" outlineLevel="1" collapsed="1" thickBot="1">
      <c r="B170" s="6"/>
      <c r="C170" s="1910" t="s">
        <v>1067</v>
      </c>
      <c r="D170" s="1911"/>
      <c r="E170" s="1900">
        <f>SUM(O160:O169)</f>
        <v>0</v>
      </c>
      <c r="F170" s="1900"/>
      <c r="G170" s="1901"/>
      <c r="H170" s="7"/>
      <c r="I170" s="7"/>
      <c r="J170" s="7"/>
      <c r="K170" s="7"/>
      <c r="L170" s="7"/>
      <c r="M170" s="7"/>
      <c r="N170" s="7"/>
      <c r="O170" s="7"/>
      <c r="P170" s="738"/>
      <c r="Q170" s="741"/>
      <c r="R170" s="1978"/>
      <c r="S170" s="1978"/>
      <c r="T170" s="1978"/>
      <c r="U170" s="1978"/>
      <c r="V170" s="1978"/>
      <c r="W170" s="1978"/>
      <c r="X170" s="1979"/>
      <c r="Y170" s="1979"/>
      <c r="Z170" s="451"/>
    </row>
    <row r="171" spans="2:40" ht="15" customHeight="1" outlineLevel="1">
      <c r="B171" s="6"/>
      <c r="C171" s="7"/>
      <c r="D171" s="7"/>
      <c r="E171" s="7"/>
      <c r="F171" s="7"/>
      <c r="G171" s="7"/>
      <c r="H171" s="7"/>
      <c r="I171" s="7"/>
      <c r="J171" s="7"/>
      <c r="K171" s="7"/>
      <c r="L171" s="7"/>
      <c r="M171" s="7"/>
      <c r="N171" s="7"/>
      <c r="O171" s="7"/>
      <c r="P171" s="451"/>
      <c r="Q171" s="741"/>
      <c r="R171" s="1978"/>
      <c r="S171" s="1978"/>
      <c r="T171" s="1978"/>
      <c r="U171" s="1978"/>
      <c r="V171" s="1978"/>
      <c r="W171" s="1978"/>
      <c r="X171" s="1979"/>
      <c r="Y171" s="1979"/>
      <c r="Z171" s="451"/>
    </row>
    <row r="172" spans="2:40" ht="15" customHeight="1" outlineLevel="1" thickBot="1">
      <c r="B172" s="6"/>
      <c r="C172" s="93" t="s">
        <v>1</v>
      </c>
      <c r="D172" s="93"/>
      <c r="E172" s="93"/>
      <c r="F172" s="93"/>
      <c r="G172" s="93"/>
      <c r="H172" s="93"/>
      <c r="I172" s="93"/>
      <c r="J172" s="93"/>
      <c r="K172" s="93"/>
      <c r="L172" s="93"/>
      <c r="M172" s="93"/>
      <c r="N172" s="93"/>
      <c r="O172" s="93"/>
      <c r="P172" s="7"/>
      <c r="Q172" s="741"/>
      <c r="R172" s="1978"/>
      <c r="S172" s="1978"/>
      <c r="T172" s="1978"/>
      <c r="U172" s="1978"/>
      <c r="V172" s="1978"/>
      <c r="W172" s="1978"/>
      <c r="X172" s="1979"/>
      <c r="Y172" s="1979"/>
      <c r="Z172" s="451"/>
    </row>
    <row r="173" spans="2:40" ht="15" hidden="1" customHeight="1" outlineLevel="2">
      <c r="B173" s="6"/>
      <c r="C173" s="1241" t="s">
        <v>1531</v>
      </c>
      <c r="D173" s="1902" t="str">
        <f>IFERROR(IF(K85="Dependência e impacto",('Apoio Regulação de Polinização'!O115*'Apoio Regulação de Polinização'!O113^2+'Apoio Regulação de Polinização'!O116*'Apoio Regulação de Polinização'!O113)/'Regulação de polinização'!K89,""),"-")</f>
        <v/>
      </c>
      <c r="E173" s="1902"/>
      <c r="F173" s="1243"/>
      <c r="G173" s="7"/>
      <c r="H173" s="7"/>
      <c r="I173" s="7"/>
      <c r="J173" s="7"/>
      <c r="K173" s="7"/>
      <c r="L173" s="7"/>
      <c r="M173" s="7"/>
      <c r="N173" s="7"/>
      <c r="O173" s="7"/>
      <c r="P173" s="7"/>
      <c r="Q173" s="17"/>
      <c r="R173" s="451"/>
      <c r="S173" s="451"/>
      <c r="T173" s="451"/>
      <c r="U173" s="451"/>
      <c r="V173" s="451"/>
      <c r="W173" s="451"/>
      <c r="X173" s="451"/>
      <c r="Y173" s="451"/>
      <c r="Z173" s="451"/>
    </row>
    <row r="174" spans="2:40" ht="16.2" hidden="1" outlineLevel="2" thickBot="1">
      <c r="B174" s="6"/>
      <c r="C174" s="1237" t="s">
        <v>493</v>
      </c>
      <c r="D174" s="1997" t="str">
        <f>IFERROR(IF(D173="","",K89*K88*K90*D173),"-")</f>
        <v/>
      </c>
      <c r="E174" s="1997"/>
      <c r="F174" s="1276" t="s">
        <v>13</v>
      </c>
      <c r="G174" s="7"/>
      <c r="H174" s="7"/>
      <c r="I174" s="7"/>
      <c r="J174" s="7"/>
      <c r="K174" s="7"/>
      <c r="L174" s="7"/>
      <c r="M174" s="7"/>
      <c r="N174" s="7"/>
      <c r="O174" s="7"/>
      <c r="P174" s="93"/>
      <c r="Q174" s="8"/>
    </row>
    <row r="175" spans="2:40" hidden="1" outlineLevel="2">
      <c r="B175" s="6"/>
      <c r="C175" s="663"/>
      <c r="D175" s="665"/>
      <c r="E175" s="665"/>
      <c r="F175" s="665"/>
      <c r="G175" s="7"/>
      <c r="H175" s="7"/>
      <c r="I175" s="7"/>
      <c r="J175" s="7"/>
      <c r="K175" s="7"/>
      <c r="L175" s="7"/>
      <c r="M175" s="7"/>
      <c r="N175" s="7"/>
      <c r="O175" s="7"/>
      <c r="P175" s="7"/>
      <c r="Q175" s="8"/>
    </row>
    <row r="176" spans="2:40" s="56" customFormat="1" ht="15.6" hidden="1" outlineLevel="2" collapsed="1">
      <c r="B176" s="58"/>
      <c r="C176" s="183" t="s">
        <v>1081</v>
      </c>
      <c r="D176" s="7"/>
      <c r="E176" s="7"/>
      <c r="F176" s="7"/>
      <c r="G176" s="7"/>
      <c r="H176" s="7"/>
      <c r="I176" s="7"/>
      <c r="J176" s="7"/>
      <c r="K176" s="7"/>
      <c r="L176" s="7"/>
      <c r="M176" s="7"/>
      <c r="N176" s="7"/>
      <c r="O176" s="7"/>
      <c r="P176" s="7"/>
      <c r="Q176" s="734"/>
      <c r="R176" s="735"/>
      <c r="S176" s="735"/>
      <c r="T176" s="735"/>
      <c r="U176" s="735"/>
      <c r="V176" s="735"/>
      <c r="W176" s="735"/>
      <c r="X176" s="735"/>
      <c r="Y176" s="735"/>
      <c r="AE176" s="57"/>
      <c r="AF176" s="57"/>
      <c r="AG176" s="57"/>
      <c r="AH176" s="57"/>
      <c r="AI176" s="57"/>
      <c r="AJ176" s="57"/>
      <c r="AK176" s="57"/>
      <c r="AL176" s="57"/>
      <c r="AM176" s="57"/>
      <c r="AN176" s="57"/>
    </row>
    <row r="177" spans="2:26" ht="16.2" hidden="1" outlineLevel="2" thickBot="1">
      <c r="B177" s="6"/>
      <c r="C177" s="666" t="s">
        <v>1411</v>
      </c>
      <c r="D177" s="667"/>
      <c r="E177" s="7"/>
      <c r="F177" s="7"/>
      <c r="G177" s="7"/>
      <c r="H177" s="7"/>
      <c r="I177" s="7"/>
      <c r="J177" s="7"/>
      <c r="K177" s="7"/>
      <c r="L177" s="7"/>
      <c r="M177" s="7"/>
      <c r="N177" s="7"/>
      <c r="O177" s="7"/>
      <c r="P177" s="7"/>
      <c r="Q177" s="8"/>
    </row>
    <row r="178" spans="2:26" ht="15" hidden="1" customHeight="1" outlineLevel="2">
      <c r="B178" s="6"/>
      <c r="C178" s="1903" t="s">
        <v>1055</v>
      </c>
      <c r="D178" s="1905" t="s">
        <v>1054</v>
      </c>
      <c r="E178" s="1905"/>
      <c r="F178" s="1905"/>
      <c r="G178" s="1905"/>
      <c r="H178" s="1905"/>
      <c r="I178" s="1905"/>
      <c r="J178" s="1905"/>
      <c r="K178" s="1905"/>
      <c r="L178" s="1905"/>
      <c r="M178" s="1905"/>
      <c r="N178" s="1905"/>
      <c r="O178" s="1914" t="s">
        <v>1534</v>
      </c>
      <c r="P178" s="7"/>
      <c r="Q178" s="8"/>
    </row>
    <row r="179" spans="2:26" hidden="1" outlineLevel="2">
      <c r="B179" s="6"/>
      <c r="C179" s="1904"/>
      <c r="D179" s="668" t="s">
        <v>1412</v>
      </c>
      <c r="E179" s="669">
        <v>1</v>
      </c>
      <c r="F179" s="669">
        <v>2</v>
      </c>
      <c r="G179" s="669">
        <v>3</v>
      </c>
      <c r="H179" s="669">
        <v>4</v>
      </c>
      <c r="I179" s="669">
        <v>5</v>
      </c>
      <c r="J179" s="669">
        <v>6</v>
      </c>
      <c r="K179" s="669">
        <v>7</v>
      </c>
      <c r="L179" s="669">
        <v>8</v>
      </c>
      <c r="M179" s="669">
        <v>9</v>
      </c>
      <c r="N179" s="669">
        <v>10</v>
      </c>
      <c r="O179" s="1915"/>
      <c r="P179" s="7"/>
      <c r="Q179" s="8"/>
    </row>
    <row r="180" spans="2:26" hidden="1" outlineLevel="2">
      <c r="B180" s="6"/>
      <c r="C180" s="1203"/>
      <c r="D180" s="669">
        <v>1</v>
      </c>
      <c r="E180" s="1201"/>
      <c r="F180" s="1201"/>
      <c r="G180" s="1201"/>
      <c r="H180" s="1201"/>
      <c r="I180" s="1201"/>
      <c r="J180" s="1201"/>
      <c r="K180" s="1201"/>
      <c r="L180" s="1201"/>
      <c r="M180" s="1201"/>
      <c r="N180" s="1201"/>
      <c r="O180" s="1277">
        <f>SUM(E180:N180)</f>
        <v>0</v>
      </c>
      <c r="P180" s="7"/>
      <c r="Q180" s="8"/>
    </row>
    <row r="181" spans="2:26" hidden="1" outlineLevel="2">
      <c r="B181" s="6"/>
      <c r="C181" s="1203"/>
      <c r="D181" s="669">
        <v>2</v>
      </c>
      <c r="E181" s="1201"/>
      <c r="F181" s="1201"/>
      <c r="G181" s="1201"/>
      <c r="H181" s="1201"/>
      <c r="I181" s="1201"/>
      <c r="J181" s="1201"/>
      <c r="K181" s="1201"/>
      <c r="L181" s="1201"/>
      <c r="M181" s="1201"/>
      <c r="N181" s="1201"/>
      <c r="O181" s="1278">
        <f t="shared" ref="O181:O189" si="3">SUM(E181:N181)</f>
        <v>0</v>
      </c>
      <c r="P181" s="451"/>
      <c r="Q181" s="8"/>
    </row>
    <row r="182" spans="2:26" hidden="1" outlineLevel="2">
      <c r="B182" s="6"/>
      <c r="C182" s="1203"/>
      <c r="D182" s="669">
        <v>3</v>
      </c>
      <c r="E182" s="1201"/>
      <c r="F182" s="1201"/>
      <c r="G182" s="1201"/>
      <c r="H182" s="1201"/>
      <c r="I182" s="1201"/>
      <c r="J182" s="1201"/>
      <c r="K182" s="1201"/>
      <c r="L182" s="1201"/>
      <c r="M182" s="1201"/>
      <c r="N182" s="1201"/>
      <c r="O182" s="1278">
        <f t="shared" si="3"/>
        <v>0</v>
      </c>
      <c r="P182" s="630"/>
      <c r="Q182" s="8"/>
    </row>
    <row r="183" spans="2:26" ht="15.75" hidden="1" customHeight="1" outlineLevel="2">
      <c r="B183" s="6"/>
      <c r="C183" s="1203"/>
      <c r="D183" s="669">
        <v>4</v>
      </c>
      <c r="E183" s="1201"/>
      <c r="F183" s="1201"/>
      <c r="G183" s="1201"/>
      <c r="H183" s="1201"/>
      <c r="I183" s="1201"/>
      <c r="J183" s="1201"/>
      <c r="K183" s="1201"/>
      <c r="L183" s="1201"/>
      <c r="M183" s="1201"/>
      <c r="N183" s="1201"/>
      <c r="O183" s="1278">
        <f t="shared" si="3"/>
        <v>0</v>
      </c>
      <c r="P183" s="695"/>
      <c r="Q183" s="17"/>
      <c r="R183" s="451"/>
      <c r="S183" s="451"/>
      <c r="T183" s="451"/>
      <c r="U183" s="451"/>
      <c r="V183" s="451"/>
      <c r="W183" s="451"/>
      <c r="X183" s="451"/>
      <c r="Y183" s="451"/>
      <c r="Z183" s="451"/>
    </row>
    <row r="184" spans="2:26" hidden="1" outlineLevel="2">
      <c r="B184" s="6"/>
      <c r="C184" s="1203"/>
      <c r="D184" s="669">
        <v>5</v>
      </c>
      <c r="E184" s="1201"/>
      <c r="F184" s="1201"/>
      <c r="G184" s="1201"/>
      <c r="H184" s="1201"/>
      <c r="I184" s="1201"/>
      <c r="J184" s="1201"/>
      <c r="K184" s="1201"/>
      <c r="L184" s="1201"/>
      <c r="M184" s="1201"/>
      <c r="N184" s="1201"/>
      <c r="O184" s="1278">
        <f t="shared" si="3"/>
        <v>0</v>
      </c>
      <c r="P184" s="738"/>
      <c r="Q184" s="739"/>
      <c r="R184" s="630"/>
      <c r="S184" s="630"/>
      <c r="T184" s="630"/>
      <c r="U184" s="630"/>
      <c r="V184" s="630"/>
      <c r="W184" s="630"/>
      <c r="X184" s="1964"/>
      <c r="Y184" s="1964"/>
      <c r="Z184" s="451"/>
    </row>
    <row r="185" spans="2:26" ht="15" hidden="1" customHeight="1" outlineLevel="2">
      <c r="B185" s="6"/>
      <c r="C185" s="1203"/>
      <c r="D185" s="669">
        <v>6</v>
      </c>
      <c r="E185" s="1201"/>
      <c r="F185" s="1201"/>
      <c r="G185" s="1201"/>
      <c r="H185" s="1201"/>
      <c r="I185" s="1201"/>
      <c r="J185" s="1201"/>
      <c r="K185" s="1201"/>
      <c r="L185" s="1201"/>
      <c r="M185" s="1201"/>
      <c r="N185" s="1201"/>
      <c r="O185" s="1278">
        <f t="shared" si="3"/>
        <v>0</v>
      </c>
      <c r="P185" s="738"/>
      <c r="Q185" s="740"/>
      <c r="R185" s="1980"/>
      <c r="S185" s="1980"/>
      <c r="T185" s="1980"/>
      <c r="U185" s="1980"/>
      <c r="V185" s="1980"/>
      <c r="W185" s="1980"/>
      <c r="X185" s="1964"/>
      <c r="Y185" s="1964"/>
      <c r="Z185" s="451"/>
    </row>
    <row r="186" spans="2:26" ht="15" hidden="1" customHeight="1" outlineLevel="2">
      <c r="B186" s="6"/>
      <c r="C186" s="1203"/>
      <c r="D186" s="669">
        <v>7</v>
      </c>
      <c r="E186" s="1201"/>
      <c r="F186" s="1201"/>
      <c r="G186" s="1201"/>
      <c r="H186" s="1201"/>
      <c r="I186" s="1201"/>
      <c r="J186" s="1201"/>
      <c r="K186" s="1201"/>
      <c r="L186" s="1201"/>
      <c r="M186" s="1201"/>
      <c r="N186" s="1201"/>
      <c r="O186" s="1278">
        <f t="shared" si="3"/>
        <v>0</v>
      </c>
      <c r="P186" s="738"/>
      <c r="Q186" s="741"/>
      <c r="R186" s="1978"/>
      <c r="S186" s="1978"/>
      <c r="T186" s="1978"/>
      <c r="U186" s="1978"/>
      <c r="V186" s="1978"/>
      <c r="W186" s="1978"/>
      <c r="X186" s="1979"/>
      <c r="Y186" s="1979"/>
      <c r="Z186" s="451"/>
    </row>
    <row r="187" spans="2:26" ht="15" hidden="1" customHeight="1" outlineLevel="2">
      <c r="B187" s="6"/>
      <c r="C187" s="1203"/>
      <c r="D187" s="669">
        <v>8</v>
      </c>
      <c r="E187" s="1201"/>
      <c r="F187" s="1201"/>
      <c r="G187" s="1201"/>
      <c r="H187" s="1201"/>
      <c r="I187" s="1201"/>
      <c r="J187" s="1201"/>
      <c r="K187" s="1201"/>
      <c r="L187" s="1201"/>
      <c r="M187" s="1201"/>
      <c r="N187" s="1201"/>
      <c r="O187" s="1278">
        <f t="shared" si="3"/>
        <v>0</v>
      </c>
      <c r="P187" s="738"/>
      <c r="Q187" s="741"/>
      <c r="R187" s="1978"/>
      <c r="S187" s="1978"/>
      <c r="T187" s="1978"/>
      <c r="U187" s="1978"/>
      <c r="V187" s="1978"/>
      <c r="W187" s="1978"/>
      <c r="X187" s="1979"/>
      <c r="Y187" s="1979"/>
      <c r="Z187" s="451"/>
    </row>
    <row r="188" spans="2:26" ht="15" hidden="1" customHeight="1" outlineLevel="2">
      <c r="B188" s="6"/>
      <c r="C188" s="1203"/>
      <c r="D188" s="669">
        <v>9</v>
      </c>
      <c r="E188" s="1201"/>
      <c r="F188" s="1201"/>
      <c r="G188" s="1201"/>
      <c r="H188" s="1201"/>
      <c r="I188" s="1201"/>
      <c r="J188" s="1201"/>
      <c r="K188" s="1201"/>
      <c r="L188" s="1201"/>
      <c r="M188" s="1201"/>
      <c r="N188" s="1201"/>
      <c r="O188" s="1278">
        <f t="shared" si="3"/>
        <v>0</v>
      </c>
      <c r="P188" s="738"/>
      <c r="Q188" s="741"/>
      <c r="R188" s="1978"/>
      <c r="S188" s="1978"/>
      <c r="T188" s="1978"/>
      <c r="U188" s="1978"/>
      <c r="V188" s="1978"/>
      <c r="W188" s="1978"/>
      <c r="X188" s="1979"/>
      <c r="Y188" s="1979"/>
      <c r="Z188" s="451"/>
    </row>
    <row r="189" spans="2:26" ht="15" hidden="1" customHeight="1" outlineLevel="2" thickBot="1">
      <c r="B189" s="6"/>
      <c r="C189" s="1204"/>
      <c r="D189" s="670">
        <v>10</v>
      </c>
      <c r="E189" s="1202"/>
      <c r="F189" s="1202"/>
      <c r="G189" s="1202"/>
      <c r="H189" s="1202"/>
      <c r="I189" s="1202"/>
      <c r="J189" s="1202"/>
      <c r="K189" s="1202"/>
      <c r="L189" s="1202"/>
      <c r="M189" s="1202"/>
      <c r="N189" s="1202"/>
      <c r="O189" s="1279">
        <f t="shared" si="3"/>
        <v>0</v>
      </c>
      <c r="P189" s="738"/>
      <c r="Q189" s="741"/>
      <c r="R189" s="1978"/>
      <c r="S189" s="1978"/>
      <c r="T189" s="1978"/>
      <c r="U189" s="1978"/>
      <c r="V189" s="1978"/>
      <c r="W189" s="1978"/>
      <c r="X189" s="1979"/>
      <c r="Y189" s="1979"/>
      <c r="Z189" s="451"/>
    </row>
    <row r="190" spans="2:26" ht="15" customHeight="1" outlineLevel="1" collapsed="1" thickBot="1">
      <c r="B190" s="6"/>
      <c r="C190" s="1896" t="s">
        <v>1067</v>
      </c>
      <c r="D190" s="1897"/>
      <c r="E190" s="1898">
        <f>SUM(O180:O189)</f>
        <v>0</v>
      </c>
      <c r="F190" s="1898"/>
      <c r="G190" s="1899"/>
      <c r="H190" s="7"/>
      <c r="I190" s="7"/>
      <c r="J190" s="7"/>
      <c r="K190" s="7"/>
      <c r="L190" s="7"/>
      <c r="M190" s="7"/>
      <c r="N190" s="7"/>
      <c r="O190" s="7"/>
      <c r="P190" s="738"/>
      <c r="Q190" s="741"/>
      <c r="R190" s="1978"/>
      <c r="S190" s="1978"/>
      <c r="T190" s="1978"/>
      <c r="U190" s="1978"/>
      <c r="V190" s="1978"/>
      <c r="W190" s="1978"/>
      <c r="X190" s="1979"/>
      <c r="Y190" s="1979"/>
      <c r="Z190" s="451"/>
    </row>
    <row r="191" spans="2:26" ht="15" customHeight="1" outlineLevel="1">
      <c r="B191" s="6"/>
      <c r="C191" s="7"/>
      <c r="D191" s="7"/>
      <c r="E191" s="7"/>
      <c r="F191" s="7"/>
      <c r="G191" s="7"/>
      <c r="H191" s="7"/>
      <c r="I191" s="7"/>
      <c r="J191" s="7"/>
      <c r="K191" s="7"/>
      <c r="L191" s="7"/>
      <c r="M191" s="7"/>
      <c r="N191" s="7"/>
      <c r="O191" s="7"/>
      <c r="P191" s="738"/>
      <c r="Q191" s="741"/>
      <c r="R191" s="1978"/>
      <c r="S191" s="1978"/>
      <c r="T191" s="1978"/>
      <c r="U191" s="1978"/>
      <c r="V191" s="1978"/>
      <c r="W191" s="1978"/>
      <c r="X191" s="1979"/>
      <c r="Y191" s="1979"/>
      <c r="Z191" s="451"/>
    </row>
    <row r="192" spans="2:26" ht="15" customHeight="1" outlineLevel="1" thickBot="1">
      <c r="B192" s="6"/>
      <c r="C192" s="93" t="s">
        <v>2</v>
      </c>
      <c r="D192" s="93"/>
      <c r="E192" s="93"/>
      <c r="F192" s="93"/>
      <c r="G192" s="93"/>
      <c r="H192" s="93"/>
      <c r="I192" s="93"/>
      <c r="J192" s="93"/>
      <c r="K192" s="93"/>
      <c r="L192" s="93"/>
      <c r="M192" s="93"/>
      <c r="N192" s="93"/>
      <c r="O192" s="93"/>
      <c r="P192" s="738"/>
      <c r="Q192" s="741"/>
      <c r="R192" s="1978"/>
      <c r="S192" s="1978"/>
      <c r="T192" s="1978"/>
      <c r="U192" s="1978"/>
      <c r="V192" s="1978"/>
      <c r="W192" s="1978"/>
      <c r="X192" s="1979"/>
      <c r="Y192" s="1979"/>
      <c r="Z192" s="451"/>
    </row>
    <row r="193" spans="2:40" ht="15" hidden="1" customHeight="1" outlineLevel="2">
      <c r="B193" s="6"/>
      <c r="C193" s="742" t="s">
        <v>1059</v>
      </c>
      <c r="D193" s="1983" t="str">
        <f>IFERROR(IF(K85="Externalidade",('Apoio Regulação de Polinização'!O115*'Apoio Regulação de Polinização'!O113^2+'Apoio Regulação de Polinização'!O116*'Apoio Regulação de Polinização'!O113)/K89,""),"")</f>
        <v/>
      </c>
      <c r="E193" s="1983"/>
      <c r="F193" s="743"/>
      <c r="G193" s="7"/>
      <c r="H193" s="7"/>
      <c r="I193" s="7"/>
      <c r="J193" s="744"/>
      <c r="K193" s="7"/>
      <c r="L193" s="7"/>
      <c r="M193" s="7"/>
      <c r="N193" s="7"/>
      <c r="O193" s="7"/>
      <c r="P193" s="451"/>
      <c r="Q193" s="741"/>
      <c r="R193" s="1978"/>
      <c r="S193" s="1978"/>
      <c r="T193" s="1978"/>
      <c r="U193" s="1978"/>
      <c r="V193" s="1978"/>
      <c r="W193" s="1978"/>
      <c r="X193" s="1979"/>
      <c r="Y193" s="1979"/>
      <c r="Z193" s="451"/>
    </row>
    <row r="194" spans="2:40" ht="15" hidden="1" customHeight="1" outlineLevel="2" thickBot="1">
      <c r="B194" s="6"/>
      <c r="C194" s="745" t="s">
        <v>493</v>
      </c>
      <c r="D194" s="1986" t="str">
        <f>IF(D193="","",K89*K88*K90*D193)</f>
        <v/>
      </c>
      <c r="E194" s="1986"/>
      <c r="F194" s="746" t="s">
        <v>13</v>
      </c>
      <c r="G194" s="7"/>
      <c r="H194" s="7"/>
      <c r="I194" s="7"/>
      <c r="J194" s="7"/>
      <c r="K194" s="7"/>
      <c r="L194" s="7"/>
      <c r="M194" s="7"/>
      <c r="N194" s="7"/>
      <c r="O194" s="7"/>
      <c r="P194" s="7"/>
      <c r="Q194" s="741"/>
      <c r="R194" s="1978"/>
      <c r="S194" s="1978"/>
      <c r="T194" s="1978"/>
      <c r="U194" s="1978"/>
      <c r="V194" s="1978"/>
      <c r="W194" s="1978"/>
      <c r="X194" s="1979"/>
      <c r="Y194" s="1979"/>
      <c r="Z194" s="451"/>
    </row>
    <row r="195" spans="2:40" ht="15" hidden="1" customHeight="1" outlineLevel="2">
      <c r="B195" s="6"/>
      <c r="C195" s="663"/>
      <c r="D195" s="665"/>
      <c r="E195" s="665"/>
      <c r="F195" s="665"/>
      <c r="G195" s="7"/>
      <c r="H195" s="7"/>
      <c r="I195" s="7"/>
      <c r="J195" s="7"/>
      <c r="K195" s="7"/>
      <c r="L195" s="7"/>
      <c r="M195" s="7"/>
      <c r="N195" s="7"/>
      <c r="O195" s="7"/>
      <c r="P195" s="7"/>
      <c r="Q195" s="17"/>
      <c r="R195" s="451"/>
      <c r="S195" s="451"/>
      <c r="T195" s="451"/>
      <c r="U195" s="451"/>
      <c r="V195" s="451"/>
      <c r="W195" s="451"/>
      <c r="X195" s="451"/>
      <c r="Y195" s="451"/>
      <c r="Z195" s="451"/>
    </row>
    <row r="196" spans="2:40" ht="15.6" hidden="1" outlineLevel="2">
      <c r="B196" s="6"/>
      <c r="C196" s="183" t="s">
        <v>1082</v>
      </c>
      <c r="D196" s="667"/>
      <c r="E196" s="7"/>
      <c r="F196" s="7"/>
      <c r="G196" s="7"/>
      <c r="H196" s="7"/>
      <c r="I196" s="7"/>
      <c r="J196" s="7"/>
      <c r="K196" s="7"/>
      <c r="L196" s="7"/>
      <c r="M196" s="7"/>
      <c r="N196" s="7"/>
      <c r="O196" s="7"/>
      <c r="P196" s="93"/>
      <c r="Q196" s="8"/>
    </row>
    <row r="197" spans="2:40" ht="16.2" hidden="1" outlineLevel="2" thickBot="1">
      <c r="B197" s="6"/>
      <c r="C197" s="666" t="s">
        <v>1411</v>
      </c>
      <c r="D197" s="667"/>
      <c r="E197" s="7"/>
      <c r="F197" s="7"/>
      <c r="G197" s="7"/>
      <c r="H197" s="7"/>
      <c r="I197" s="7"/>
      <c r="J197" s="7"/>
      <c r="K197" s="7"/>
      <c r="L197" s="7"/>
      <c r="M197" s="7"/>
      <c r="N197" s="7"/>
      <c r="O197" s="7"/>
      <c r="P197" s="7"/>
      <c r="Q197" s="8"/>
    </row>
    <row r="198" spans="2:40" s="56" customFormat="1" ht="15.75" hidden="1" customHeight="1" outlineLevel="2" collapsed="1">
      <c r="B198" s="58"/>
      <c r="C198" s="1903" t="s">
        <v>1055</v>
      </c>
      <c r="D198" s="1992" t="s">
        <v>1054</v>
      </c>
      <c r="E198" s="1993"/>
      <c r="F198" s="1993"/>
      <c r="G198" s="1993"/>
      <c r="H198" s="1993"/>
      <c r="I198" s="1993"/>
      <c r="J198" s="1993"/>
      <c r="K198" s="1993"/>
      <c r="L198" s="1993"/>
      <c r="M198" s="1993"/>
      <c r="N198" s="1994"/>
      <c r="O198" s="1995" t="s">
        <v>1431</v>
      </c>
      <c r="P198" s="7"/>
      <c r="Q198" s="734"/>
      <c r="R198" s="735"/>
      <c r="S198" s="735"/>
      <c r="T198" s="735"/>
      <c r="U198" s="735"/>
      <c r="V198" s="735"/>
      <c r="W198" s="735"/>
      <c r="X198" s="735"/>
      <c r="Y198" s="735"/>
      <c r="AE198" s="57"/>
      <c r="AF198" s="57"/>
      <c r="AG198" s="57"/>
      <c r="AH198" s="57"/>
      <c r="AI198" s="57"/>
      <c r="AJ198" s="57"/>
      <c r="AK198" s="57"/>
      <c r="AL198" s="57"/>
      <c r="AM198" s="57"/>
      <c r="AN198" s="57"/>
    </row>
    <row r="199" spans="2:40" hidden="1" outlineLevel="2">
      <c r="B199" s="6"/>
      <c r="C199" s="1904"/>
      <c r="D199" s="668" t="s">
        <v>1412</v>
      </c>
      <c r="E199" s="669">
        <v>1</v>
      </c>
      <c r="F199" s="669">
        <v>2</v>
      </c>
      <c r="G199" s="669">
        <v>3</v>
      </c>
      <c r="H199" s="669">
        <v>4</v>
      </c>
      <c r="I199" s="669">
        <v>5</v>
      </c>
      <c r="J199" s="669">
        <v>6</v>
      </c>
      <c r="K199" s="669">
        <v>7</v>
      </c>
      <c r="L199" s="669">
        <v>8</v>
      </c>
      <c r="M199" s="669">
        <v>9</v>
      </c>
      <c r="N199" s="669">
        <v>10</v>
      </c>
      <c r="O199" s="1996"/>
      <c r="P199" s="7"/>
      <c r="Q199" s="8"/>
    </row>
    <row r="200" spans="2:40" hidden="1" outlineLevel="2">
      <c r="B200" s="6"/>
      <c r="C200" s="657"/>
      <c r="D200" s="669">
        <v>1</v>
      </c>
      <c r="E200" s="188"/>
      <c r="F200" s="188"/>
      <c r="G200" s="188"/>
      <c r="H200" s="188"/>
      <c r="I200" s="188"/>
      <c r="J200" s="188"/>
      <c r="K200" s="188"/>
      <c r="L200" s="188"/>
      <c r="M200" s="188"/>
      <c r="N200" s="188"/>
      <c r="O200" s="747">
        <f t="shared" ref="O200:O209" si="4">SUM(E200:N200)</f>
        <v>0</v>
      </c>
      <c r="P200" s="7"/>
      <c r="Q200" s="8"/>
    </row>
    <row r="201" spans="2:40" hidden="1" outlineLevel="2">
      <c r="B201" s="6"/>
      <c r="C201" s="657"/>
      <c r="D201" s="669">
        <v>2</v>
      </c>
      <c r="E201" s="188"/>
      <c r="F201" s="188"/>
      <c r="G201" s="188"/>
      <c r="H201" s="188"/>
      <c r="I201" s="188"/>
      <c r="J201" s="188"/>
      <c r="K201" s="188"/>
      <c r="L201" s="188"/>
      <c r="M201" s="188"/>
      <c r="N201" s="188"/>
      <c r="O201" s="747">
        <f t="shared" si="4"/>
        <v>0</v>
      </c>
      <c r="P201" s="7"/>
      <c r="Q201" s="8"/>
    </row>
    <row r="202" spans="2:40" hidden="1" outlineLevel="2">
      <c r="B202" s="6"/>
      <c r="C202" s="657"/>
      <c r="D202" s="669">
        <v>3</v>
      </c>
      <c r="E202" s="188"/>
      <c r="F202" s="188"/>
      <c r="G202" s="188"/>
      <c r="H202" s="188"/>
      <c r="I202" s="188"/>
      <c r="J202" s="188"/>
      <c r="K202" s="188"/>
      <c r="L202" s="188"/>
      <c r="M202" s="188"/>
      <c r="N202" s="188"/>
      <c r="O202" s="747">
        <f t="shared" si="4"/>
        <v>0</v>
      </c>
      <c r="P202" s="7"/>
      <c r="Q202" s="8"/>
    </row>
    <row r="203" spans="2:40" hidden="1" outlineLevel="2">
      <c r="B203" s="6"/>
      <c r="C203" s="657"/>
      <c r="D203" s="669">
        <v>4</v>
      </c>
      <c r="E203" s="188"/>
      <c r="F203" s="188"/>
      <c r="G203" s="188"/>
      <c r="H203" s="188"/>
      <c r="I203" s="188"/>
      <c r="J203" s="188"/>
      <c r="K203" s="188"/>
      <c r="L203" s="188"/>
      <c r="M203" s="188"/>
      <c r="N203" s="188"/>
      <c r="O203" s="747">
        <f t="shared" si="4"/>
        <v>0</v>
      </c>
      <c r="P203" s="7"/>
      <c r="Q203" s="8"/>
    </row>
    <row r="204" spans="2:40" hidden="1" outlineLevel="2">
      <c r="B204" s="6"/>
      <c r="C204" s="657"/>
      <c r="D204" s="669">
        <v>5</v>
      </c>
      <c r="E204" s="188"/>
      <c r="F204" s="188"/>
      <c r="G204" s="188"/>
      <c r="H204" s="188"/>
      <c r="I204" s="188"/>
      <c r="J204" s="188"/>
      <c r="K204" s="188"/>
      <c r="L204" s="188"/>
      <c r="M204" s="188"/>
      <c r="N204" s="188"/>
      <c r="O204" s="747">
        <f t="shared" si="4"/>
        <v>0</v>
      </c>
      <c r="P204" s="748"/>
      <c r="Q204" s="8"/>
    </row>
    <row r="205" spans="2:40" ht="15.75" hidden="1" customHeight="1" outlineLevel="2">
      <c r="B205" s="6"/>
      <c r="C205" s="657"/>
      <c r="D205" s="669">
        <v>6</v>
      </c>
      <c r="E205" s="188"/>
      <c r="F205" s="188"/>
      <c r="G205" s="188"/>
      <c r="H205" s="188"/>
      <c r="I205" s="188"/>
      <c r="J205" s="188"/>
      <c r="K205" s="188"/>
      <c r="L205" s="188"/>
      <c r="M205" s="188"/>
      <c r="N205" s="188"/>
      <c r="O205" s="747">
        <f t="shared" si="4"/>
        <v>0</v>
      </c>
      <c r="P205" s="684"/>
      <c r="Q205" s="8"/>
    </row>
    <row r="206" spans="2:40" hidden="1" outlineLevel="2">
      <c r="B206" s="6"/>
      <c r="C206" s="657"/>
      <c r="D206" s="669">
        <v>7</v>
      </c>
      <c r="E206" s="188"/>
      <c r="F206" s="188"/>
      <c r="G206" s="188"/>
      <c r="H206" s="188"/>
      <c r="I206" s="188"/>
      <c r="J206" s="188"/>
      <c r="K206" s="188"/>
      <c r="L206" s="188"/>
      <c r="M206" s="188"/>
      <c r="N206" s="188"/>
      <c r="O206" s="747">
        <f t="shared" si="4"/>
        <v>0</v>
      </c>
      <c r="P206" s="749"/>
      <c r="Q206" s="750"/>
      <c r="R206" s="748"/>
      <c r="S206" s="748"/>
      <c r="T206" s="748"/>
      <c r="U206" s="748"/>
      <c r="V206" s="748"/>
      <c r="W206" s="748"/>
      <c r="X206" s="1984"/>
      <c r="Y206" s="1984"/>
      <c r="Z206" s="20"/>
    </row>
    <row r="207" spans="2:40" ht="15" hidden="1" customHeight="1" outlineLevel="2">
      <c r="B207" s="6"/>
      <c r="C207" s="657"/>
      <c r="D207" s="669">
        <v>8</v>
      </c>
      <c r="E207" s="188"/>
      <c r="F207" s="188"/>
      <c r="G207" s="188"/>
      <c r="H207" s="188"/>
      <c r="I207" s="188"/>
      <c r="J207" s="188"/>
      <c r="K207" s="188"/>
      <c r="L207" s="188"/>
      <c r="M207" s="188"/>
      <c r="N207" s="188"/>
      <c r="O207" s="747">
        <f t="shared" si="4"/>
        <v>0</v>
      </c>
      <c r="P207" s="749"/>
      <c r="Q207" s="751"/>
      <c r="R207" s="1985"/>
      <c r="S207" s="1985"/>
      <c r="T207" s="1985"/>
      <c r="U207" s="1985"/>
      <c r="V207" s="1985"/>
      <c r="W207" s="1985"/>
      <c r="X207" s="1984"/>
      <c r="Y207" s="1984"/>
      <c r="Z207" s="20"/>
    </row>
    <row r="208" spans="2:40" ht="15" hidden="1" customHeight="1" outlineLevel="2">
      <c r="B208" s="6"/>
      <c r="C208" s="657"/>
      <c r="D208" s="669">
        <v>9</v>
      </c>
      <c r="E208" s="188"/>
      <c r="F208" s="188"/>
      <c r="G208" s="188"/>
      <c r="H208" s="188"/>
      <c r="I208" s="188"/>
      <c r="J208" s="188"/>
      <c r="K208" s="188"/>
      <c r="L208" s="188"/>
      <c r="M208" s="188"/>
      <c r="N208" s="188"/>
      <c r="O208" s="747">
        <f t="shared" si="4"/>
        <v>0</v>
      </c>
      <c r="P208" s="749"/>
      <c r="Q208" s="752"/>
      <c r="R208" s="1981"/>
      <c r="S208" s="1981"/>
      <c r="T208" s="1981"/>
      <c r="U208" s="1981"/>
      <c r="V208" s="1981"/>
      <c r="W208" s="1981"/>
      <c r="X208" s="1982"/>
      <c r="Y208" s="1982"/>
      <c r="Z208" s="20"/>
    </row>
    <row r="209" spans="1:26" ht="15" hidden="1" customHeight="1" outlineLevel="2" thickBot="1">
      <c r="B209" s="6"/>
      <c r="C209" s="659"/>
      <c r="D209" s="670">
        <v>10</v>
      </c>
      <c r="E209" s="661"/>
      <c r="F209" s="661"/>
      <c r="G209" s="661"/>
      <c r="H209" s="661"/>
      <c r="I209" s="661"/>
      <c r="J209" s="661"/>
      <c r="K209" s="661"/>
      <c r="L209" s="661"/>
      <c r="M209" s="661"/>
      <c r="N209" s="661"/>
      <c r="O209" s="753">
        <f t="shared" si="4"/>
        <v>0</v>
      </c>
      <c r="P209" s="749"/>
      <c r="Q209" s="752"/>
      <c r="R209" s="1981"/>
      <c r="S209" s="1981"/>
      <c r="T209" s="1981"/>
      <c r="U209" s="1981"/>
      <c r="V209" s="1981"/>
      <c r="W209" s="1981"/>
      <c r="X209" s="1982"/>
      <c r="Y209" s="1982"/>
      <c r="Z209" s="20"/>
    </row>
    <row r="210" spans="1:26" ht="15" customHeight="1" outlineLevel="1" collapsed="1" thickBot="1">
      <c r="B210" s="6"/>
      <c r="C210" s="1987" t="s">
        <v>1067</v>
      </c>
      <c r="D210" s="1988"/>
      <c r="E210" s="1989">
        <f>SUM(O200:O209)</f>
        <v>0</v>
      </c>
      <c r="F210" s="1989"/>
      <c r="G210" s="1990"/>
      <c r="H210" s="7"/>
      <c r="I210" s="7"/>
      <c r="J210" s="7"/>
      <c r="K210" s="7"/>
      <c r="L210" s="7"/>
      <c r="M210" s="7"/>
      <c r="N210" s="7"/>
      <c r="O210" s="7"/>
      <c r="P210" s="749"/>
      <c r="Q210" s="752"/>
      <c r="R210" s="1981"/>
      <c r="S210" s="1981"/>
      <c r="T210" s="1981"/>
      <c r="U210" s="1981"/>
      <c r="V210" s="1981"/>
      <c r="W210" s="1981"/>
      <c r="X210" s="1982"/>
      <c r="Y210" s="1982"/>
      <c r="Z210" s="20"/>
    </row>
    <row r="211" spans="1:26" ht="15" customHeight="1" outlineLevel="1">
      <c r="B211" s="6"/>
      <c r="C211" s="7"/>
      <c r="D211" s="7"/>
      <c r="E211" s="7"/>
      <c r="F211" s="7"/>
      <c r="G211" s="7"/>
      <c r="H211" s="7"/>
      <c r="I211" s="7"/>
      <c r="J211" s="7"/>
      <c r="K211" s="7"/>
      <c r="L211" s="7"/>
      <c r="M211" s="7"/>
      <c r="N211" s="7"/>
      <c r="O211" s="7"/>
      <c r="P211" s="749"/>
      <c r="Q211" s="752"/>
      <c r="R211" s="1981"/>
      <c r="S211" s="1981"/>
      <c r="T211" s="1981"/>
      <c r="U211" s="1981"/>
      <c r="V211" s="1981"/>
      <c r="W211" s="1981"/>
      <c r="X211" s="1982"/>
      <c r="Y211" s="1982"/>
      <c r="Z211" s="20"/>
    </row>
    <row r="212" spans="1:26" ht="15" customHeight="1" thickBot="1">
      <c r="B212" s="127"/>
      <c r="C212" s="35"/>
      <c r="D212" s="35"/>
      <c r="E212" s="35"/>
      <c r="F212" s="35"/>
      <c r="G212" s="35"/>
      <c r="H212" s="35"/>
      <c r="I212" s="35"/>
      <c r="J212" s="35"/>
      <c r="K212" s="35"/>
      <c r="L212" s="35"/>
      <c r="M212" s="35"/>
      <c r="N212" s="35"/>
      <c r="O212" s="35"/>
      <c r="P212" s="754"/>
      <c r="Q212" s="755"/>
      <c r="R212" s="1981"/>
      <c r="S212" s="1981"/>
      <c r="T212" s="1981"/>
      <c r="U212" s="1981"/>
      <c r="V212" s="1981"/>
      <c r="W212" s="1981"/>
      <c r="X212" s="1982"/>
      <c r="Y212" s="1982"/>
      <c r="Z212" s="20"/>
    </row>
    <row r="213" spans="1:26" ht="15" customHeight="1" thickTop="1">
      <c r="A213" s="7"/>
      <c r="B213" s="7"/>
      <c r="C213" s="7"/>
      <c r="D213" s="7"/>
      <c r="E213" s="7"/>
      <c r="F213" s="7"/>
      <c r="G213" s="7"/>
      <c r="H213" s="7"/>
      <c r="I213" s="7"/>
      <c r="J213" s="7"/>
      <c r="K213" s="7"/>
      <c r="L213" s="7"/>
      <c r="M213" s="7"/>
      <c r="N213" s="7"/>
      <c r="O213" s="7"/>
      <c r="P213" s="749"/>
      <c r="Q213" s="749"/>
      <c r="R213" s="1981"/>
      <c r="S213" s="1981"/>
      <c r="T213" s="1981"/>
      <c r="U213" s="1981"/>
      <c r="V213" s="1981"/>
      <c r="W213" s="1981"/>
      <c r="X213" s="1982"/>
      <c r="Y213" s="1982"/>
      <c r="Z213" s="20"/>
    </row>
    <row r="214" spans="1:26" ht="15" customHeight="1">
      <c r="A214" s="7"/>
      <c r="B214" s="7"/>
      <c r="C214" s="7"/>
      <c r="D214" s="7"/>
      <c r="E214" s="7"/>
      <c r="F214" s="7"/>
      <c r="G214" s="7"/>
      <c r="H214" s="7"/>
      <c r="I214" s="7"/>
      <c r="J214" s="7"/>
      <c r="K214" s="7"/>
      <c r="L214" s="7"/>
      <c r="M214" s="7"/>
      <c r="N214" s="7"/>
      <c r="O214" s="7"/>
      <c r="P214" s="749"/>
      <c r="Q214" s="749"/>
      <c r="R214" s="1981"/>
      <c r="S214" s="1981"/>
      <c r="T214" s="1981"/>
      <c r="U214" s="1981"/>
      <c r="V214" s="1981"/>
      <c r="W214" s="1981"/>
      <c r="X214" s="1982"/>
      <c r="Y214" s="1982"/>
      <c r="Z214" s="20"/>
    </row>
    <row r="215" spans="1:26" ht="15" customHeight="1">
      <c r="A215" s="7"/>
      <c r="B215" s="7"/>
      <c r="O215" s="7"/>
      <c r="P215" s="20"/>
      <c r="Q215" s="749"/>
      <c r="R215" s="1981"/>
      <c r="S215" s="1981"/>
      <c r="T215" s="1981"/>
      <c r="U215" s="1981"/>
      <c r="V215" s="1981"/>
      <c r="W215" s="1981"/>
      <c r="X215" s="1982"/>
      <c r="Y215" s="1982"/>
      <c r="Z215" s="20"/>
    </row>
    <row r="216" spans="1:26" ht="15" customHeight="1">
      <c r="B216" s="7"/>
      <c r="C216" s="7"/>
      <c r="Q216" s="749"/>
      <c r="R216" s="1981"/>
      <c r="S216" s="1981"/>
      <c r="T216" s="1981"/>
      <c r="U216" s="1981"/>
      <c r="V216" s="1981"/>
      <c r="W216" s="1981"/>
      <c r="X216" s="1982"/>
      <c r="Y216" s="1982"/>
      <c r="Z216" s="20"/>
    </row>
    <row r="217" spans="1:26" ht="15" customHeight="1">
      <c r="B217" s="7"/>
      <c r="Q217" s="20"/>
      <c r="R217" s="20"/>
      <c r="S217" s="20"/>
      <c r="T217" s="20"/>
      <c r="U217" s="20"/>
      <c r="V217" s="20"/>
      <c r="W217" s="20"/>
      <c r="X217" s="20"/>
      <c r="Y217" s="20"/>
      <c r="Z217" s="20"/>
    </row>
    <row r="218" spans="1:26">
      <c r="B218" s="7"/>
    </row>
    <row r="219" spans="1:26">
      <c r="B219" s="7"/>
      <c r="D219" s="7"/>
    </row>
    <row r="220" spans="1:26">
      <c r="B220" s="7"/>
    </row>
    <row r="221" spans="1:26">
      <c r="B221" s="7"/>
      <c r="N221" s="7"/>
    </row>
    <row r="224" spans="1:26" collapsed="1">
      <c r="D224" s="756" t="s">
        <v>1079</v>
      </c>
    </row>
    <row r="284" hidden="1"/>
  </sheetData>
  <mergeCells count="260">
    <mergeCell ref="D174:E174"/>
    <mergeCell ref="E154:F154"/>
    <mergeCell ref="C126:D126"/>
    <mergeCell ref="C170:D170"/>
    <mergeCell ref="C158:C159"/>
    <mergeCell ref="B7:Q7"/>
    <mergeCell ref="D19:J19"/>
    <mergeCell ref="D20:J20"/>
    <mergeCell ref="D28:J28"/>
    <mergeCell ref="C14:P14"/>
    <mergeCell ref="M19:N19"/>
    <mergeCell ref="M20:N20"/>
    <mergeCell ref="M21:N21"/>
    <mergeCell ref="M26:N26"/>
    <mergeCell ref="M24:N24"/>
    <mergeCell ref="M23:N23"/>
    <mergeCell ref="M18:N18"/>
    <mergeCell ref="D23:J23"/>
    <mergeCell ref="B16:Q16"/>
    <mergeCell ref="M25:N25"/>
    <mergeCell ref="D25:J25"/>
    <mergeCell ref="D22:J22"/>
    <mergeCell ref="M27:N27"/>
    <mergeCell ref="C125:D125"/>
    <mergeCell ref="C210:D210"/>
    <mergeCell ref="E210:G210"/>
    <mergeCell ref="R212:S212"/>
    <mergeCell ref="T212:U212"/>
    <mergeCell ref="V212:W212"/>
    <mergeCell ref="X212:Y212"/>
    <mergeCell ref="R213:S213"/>
    <mergeCell ref="T213:U213"/>
    <mergeCell ref="M91:N91"/>
    <mergeCell ref="I98:N98"/>
    <mergeCell ref="D198:N198"/>
    <mergeCell ref="C198:C199"/>
    <mergeCell ref="O198:O199"/>
    <mergeCell ref="V213:W213"/>
    <mergeCell ref="X213:Y213"/>
    <mergeCell ref="R210:S210"/>
    <mergeCell ref="T210:U210"/>
    <mergeCell ref="V210:W210"/>
    <mergeCell ref="X210:Y210"/>
    <mergeCell ref="R211:S211"/>
    <mergeCell ref="T211:U211"/>
    <mergeCell ref="V211:W211"/>
    <mergeCell ref="X211:Y211"/>
    <mergeCell ref="C99:N99"/>
    <mergeCell ref="R216:S216"/>
    <mergeCell ref="T216:U216"/>
    <mergeCell ref="V216:W216"/>
    <mergeCell ref="X216:Y216"/>
    <mergeCell ref="R214:S214"/>
    <mergeCell ref="T214:U214"/>
    <mergeCell ref="V214:W214"/>
    <mergeCell ref="X214:Y214"/>
    <mergeCell ref="R215:S215"/>
    <mergeCell ref="T215:U215"/>
    <mergeCell ref="V215:W215"/>
    <mergeCell ref="X215:Y215"/>
    <mergeCell ref="R208:S208"/>
    <mergeCell ref="T208:U208"/>
    <mergeCell ref="V208:W208"/>
    <mergeCell ref="X208:Y208"/>
    <mergeCell ref="R209:S209"/>
    <mergeCell ref="T209:U209"/>
    <mergeCell ref="V209:W209"/>
    <mergeCell ref="X209:Y209"/>
    <mergeCell ref="D193:E193"/>
    <mergeCell ref="X206:Y207"/>
    <mergeCell ref="R207:S207"/>
    <mergeCell ref="T207:U207"/>
    <mergeCell ref="V207:W207"/>
    <mergeCell ref="R194:S194"/>
    <mergeCell ref="T194:U194"/>
    <mergeCell ref="V194:W194"/>
    <mergeCell ref="X194:Y194"/>
    <mergeCell ref="D194:E194"/>
    <mergeCell ref="R192:S192"/>
    <mergeCell ref="T192:U192"/>
    <mergeCell ref="V192:W192"/>
    <mergeCell ref="X192:Y192"/>
    <mergeCell ref="R193:S193"/>
    <mergeCell ref="T193:U193"/>
    <mergeCell ref="V193:W193"/>
    <mergeCell ref="X193:Y193"/>
    <mergeCell ref="R190:S190"/>
    <mergeCell ref="T190:U190"/>
    <mergeCell ref="V190:W190"/>
    <mergeCell ref="X190:Y190"/>
    <mergeCell ref="R191:S191"/>
    <mergeCell ref="T191:U191"/>
    <mergeCell ref="V191:W191"/>
    <mergeCell ref="X191:Y191"/>
    <mergeCell ref="R188:S188"/>
    <mergeCell ref="T188:U188"/>
    <mergeCell ref="V188:W188"/>
    <mergeCell ref="X188:Y188"/>
    <mergeCell ref="R189:S189"/>
    <mergeCell ref="T189:U189"/>
    <mergeCell ref="V189:W189"/>
    <mergeCell ref="X189:Y189"/>
    <mergeCell ref="R186:S186"/>
    <mergeCell ref="T186:U186"/>
    <mergeCell ref="V186:W186"/>
    <mergeCell ref="X186:Y186"/>
    <mergeCell ref="R187:S187"/>
    <mergeCell ref="T187:U187"/>
    <mergeCell ref="V187:W187"/>
    <mergeCell ref="X187:Y187"/>
    <mergeCell ref="X184:Y185"/>
    <mergeCell ref="R185:S185"/>
    <mergeCell ref="T185:U185"/>
    <mergeCell ref="V185:W185"/>
    <mergeCell ref="R172:S172"/>
    <mergeCell ref="T172:U172"/>
    <mergeCell ref="V172:W172"/>
    <mergeCell ref="X172:Y172"/>
    <mergeCell ref="R170:S170"/>
    <mergeCell ref="T170:U170"/>
    <mergeCell ref="V170:W170"/>
    <mergeCell ref="X170:Y170"/>
    <mergeCell ref="R171:S171"/>
    <mergeCell ref="T171:U171"/>
    <mergeCell ref="V171:W171"/>
    <mergeCell ref="X171:Y171"/>
    <mergeCell ref="R168:S168"/>
    <mergeCell ref="T168:U168"/>
    <mergeCell ref="V168:W168"/>
    <mergeCell ref="X168:Y168"/>
    <mergeCell ref="R169:S169"/>
    <mergeCell ref="T169:U169"/>
    <mergeCell ref="V169:W169"/>
    <mergeCell ref="X169:Y169"/>
    <mergeCell ref="R166:S166"/>
    <mergeCell ref="T166:U166"/>
    <mergeCell ref="V166:W166"/>
    <mergeCell ref="X166:Y166"/>
    <mergeCell ref="R167:S167"/>
    <mergeCell ref="T167:U167"/>
    <mergeCell ref="V167:W167"/>
    <mergeCell ref="X167:Y167"/>
    <mergeCell ref="R164:S164"/>
    <mergeCell ref="T164:U164"/>
    <mergeCell ref="V164:W164"/>
    <mergeCell ref="X164:Y164"/>
    <mergeCell ref="R165:S165"/>
    <mergeCell ref="T165:U165"/>
    <mergeCell ref="V165:W165"/>
    <mergeCell ref="X165:Y165"/>
    <mergeCell ref="X162:Y163"/>
    <mergeCell ref="R163:S163"/>
    <mergeCell ref="T163:U163"/>
    <mergeCell ref="V163:W163"/>
    <mergeCell ref="AH131:AL131"/>
    <mergeCell ref="AH132:AL132"/>
    <mergeCell ref="AH133:AL133"/>
    <mergeCell ref="AH134:AL134"/>
    <mergeCell ref="AH135:AL135"/>
    <mergeCell ref="C153:D153"/>
    <mergeCell ref="P131:P132"/>
    <mergeCell ref="Q131:Q132"/>
    <mergeCell ref="B150:Q150"/>
    <mergeCell ref="D131:O131"/>
    <mergeCell ref="C131:C132"/>
    <mergeCell ref="E153:F153"/>
    <mergeCell ref="AH127:AL127"/>
    <mergeCell ref="AH128:AL128"/>
    <mergeCell ref="AH129:AL129"/>
    <mergeCell ref="AH130:AL130"/>
    <mergeCell ref="AH119:AL119"/>
    <mergeCell ref="AH120:AL120"/>
    <mergeCell ref="AH121:AL121"/>
    <mergeCell ref="AH122:AL122"/>
    <mergeCell ref="AH123:AL123"/>
    <mergeCell ref="AH124:AL124"/>
    <mergeCell ref="AH125:AL125"/>
    <mergeCell ref="AM103:AM105"/>
    <mergeCell ref="AM110:AM114"/>
    <mergeCell ref="AM115:AM117"/>
    <mergeCell ref="AM118:AM122"/>
    <mergeCell ref="AH117:AL117"/>
    <mergeCell ref="AH118:AL118"/>
    <mergeCell ref="AH109:AL109"/>
    <mergeCell ref="AH110:AL110"/>
    <mergeCell ref="AH111:AL111"/>
    <mergeCell ref="AH112:AL112"/>
    <mergeCell ref="AM106:AM109"/>
    <mergeCell ref="AH104:AL104"/>
    <mergeCell ref="AH105:AL105"/>
    <mergeCell ref="AH106:AL106"/>
    <mergeCell ref="AH107:AL107"/>
    <mergeCell ref="AH102:AL102"/>
    <mergeCell ref="AH103:AL103"/>
    <mergeCell ref="C113:D113"/>
    <mergeCell ref="M88:N88"/>
    <mergeCell ref="C114:D114"/>
    <mergeCell ref="C116:D116"/>
    <mergeCell ref="M31:N31"/>
    <mergeCell ref="C103:D103"/>
    <mergeCell ref="E101:P101"/>
    <mergeCell ref="D94:J94"/>
    <mergeCell ref="M94:N94"/>
    <mergeCell ref="D86:J86"/>
    <mergeCell ref="D87:J87"/>
    <mergeCell ref="D92:J92"/>
    <mergeCell ref="C104:D104"/>
    <mergeCell ref="C105:D105"/>
    <mergeCell ref="C122:D122"/>
    <mergeCell ref="C123:D123"/>
    <mergeCell ref="C124:D124"/>
    <mergeCell ref="AH113:AL113"/>
    <mergeCell ref="AH114:AL114"/>
    <mergeCell ref="AH115:AL115"/>
    <mergeCell ref="AH116:AL116"/>
    <mergeCell ref="C110:D111"/>
    <mergeCell ref="E110:P110"/>
    <mergeCell ref="C121:D121"/>
    <mergeCell ref="C112:D112"/>
    <mergeCell ref="Q110:Q111"/>
    <mergeCell ref="D29:J29"/>
    <mergeCell ref="B33:Q33"/>
    <mergeCell ref="O42:O43"/>
    <mergeCell ref="O62:O63"/>
    <mergeCell ref="C80:O80"/>
    <mergeCell ref="M86:N86"/>
    <mergeCell ref="M87:N87"/>
    <mergeCell ref="M92:N92"/>
    <mergeCell ref="E85:F85"/>
    <mergeCell ref="M85:N85"/>
    <mergeCell ref="K85:L85"/>
    <mergeCell ref="B82:Q82"/>
    <mergeCell ref="M30:N30"/>
    <mergeCell ref="M89:N89"/>
    <mergeCell ref="M90:N90"/>
    <mergeCell ref="C86:C87"/>
    <mergeCell ref="F10:Q10"/>
    <mergeCell ref="C190:D190"/>
    <mergeCell ref="E190:G190"/>
    <mergeCell ref="E170:G170"/>
    <mergeCell ref="C129:P129"/>
    <mergeCell ref="D173:E173"/>
    <mergeCell ref="C178:C179"/>
    <mergeCell ref="D178:N178"/>
    <mergeCell ref="C115:D115"/>
    <mergeCell ref="C42:C43"/>
    <mergeCell ref="C54:D54"/>
    <mergeCell ref="C74:D74"/>
    <mergeCell ref="C62:C63"/>
    <mergeCell ref="E54:G54"/>
    <mergeCell ref="E74:G74"/>
    <mergeCell ref="D42:N42"/>
    <mergeCell ref="D62:N62"/>
    <mergeCell ref="O178:O179"/>
    <mergeCell ref="O158:O159"/>
    <mergeCell ref="D158:N158"/>
    <mergeCell ref="C117:D117"/>
    <mergeCell ref="C118:D118"/>
    <mergeCell ref="C119:D119"/>
    <mergeCell ref="C120:D120"/>
  </mergeCells>
  <conditionalFormatting sqref="D133:O148">
    <cfRule type="expression" dxfId="7" priority="2">
      <formula>#REF!="LLI"</formula>
    </cfRule>
  </conditionalFormatting>
  <dataValidations count="1">
    <dataValidation showInputMessage="1" showErrorMessage="1" sqref="E85:F85" xr:uid="{00000000-0002-0000-0F00-000000000000}"/>
  </dataValidations>
  <hyperlinks>
    <hyperlink ref="I98:N98" location="'Apoio Regulação de Polinização'!B100" display="Em caso de dúvidas sobre as alternativas de uso de solo listadas, clique aqui. " xr:uid="{00000000-0004-0000-0F00-000000000000}"/>
  </hyperlinks>
  <pageMargins left="0.511811024" right="0.511811024" top="0.78740157499999996" bottom="0.78740157499999996" header="0.31496062000000002" footer="0.31496062000000002"/>
  <pageSetup paperSize="9" orientation="portrait" verticalDpi="300"/>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F00-000001000000}">
          <x14:formula1>
            <xm:f>'Apoio Regulação de Polinização'!$B$16:$B$72</xm:f>
          </x14:formula1>
          <xm:sqref>K19 K86</xm:sqref>
        </x14:dataValidation>
        <x14:dataValidation type="list" allowBlank="1" showInputMessage="1" showErrorMessage="1" xr:uid="{00000000-0002-0000-0F00-000003000000}">
          <x14:formula1>
            <xm:f>'Apoio Regulação de Polinização'!$AD$19:$AD$81</xm:f>
          </x14:formula1>
          <xm:sqref>C112:C126</xm:sqref>
        </x14:dataValidation>
        <x14:dataValidation type="list" showInputMessage="1" showErrorMessage="1" xr:uid="{00000000-0002-0000-0F00-000004000000}">
          <x14:formula1>
            <xm:f>'Apoio Regulação de Polinização'!$B$141:$B$157</xm:f>
          </x14:formula1>
          <xm:sqref>E103:P103</xm:sqref>
        </x14:dataValidation>
        <x14:dataValidation type="list" allowBlank="1" showInputMessage="1" showErrorMessage="1" xr:uid="{00000000-0002-0000-0F00-000005000000}">
          <x14:formula1>
            <xm:f>'Apoio Regulação de Polinização'!$B$136:$B$138</xm:f>
          </x14:formula1>
          <xm:sqref>K85:L85</xm:sqref>
        </x14:dataValidation>
      </x14:dataValidations>
    </ex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499984740745262"/>
  </sheetPr>
  <dimension ref="A8:AJ163"/>
  <sheetViews>
    <sheetView showGridLines="0" zoomScale="90" zoomScaleNormal="90" workbookViewId="0">
      <selection activeCell="L21" sqref="L21"/>
    </sheetView>
  </sheetViews>
  <sheetFormatPr defaultColWidth="8.88671875" defaultRowHeight="14.4" outlineLevelCol="1"/>
  <cols>
    <col min="1" max="1" width="4.88671875" style="5" customWidth="1" outlineLevel="1"/>
    <col min="2" max="2" width="20.109375" style="5" customWidth="1" outlineLevel="1"/>
    <col min="3" max="3" width="26.44140625" style="5" customWidth="1" outlineLevel="1"/>
    <col min="4" max="4" width="16.33203125" style="5" customWidth="1" outlineLevel="1"/>
    <col min="5" max="5" width="13.33203125" style="5" customWidth="1" outlineLevel="1"/>
    <col min="6" max="6" width="12.44140625" style="5" customWidth="1" outlineLevel="1"/>
    <col min="7" max="7" width="15.109375" style="5" customWidth="1" outlineLevel="1"/>
    <col min="8" max="8" width="10.44140625" style="5" customWidth="1" outlineLevel="1"/>
    <col min="9" max="9" width="17.44140625" style="5" customWidth="1" outlineLevel="1"/>
    <col min="10" max="10" width="10.88671875" style="5" customWidth="1" outlineLevel="1"/>
    <col min="11" max="11" width="9.109375" style="5" customWidth="1"/>
    <col min="12" max="12" width="8.88671875" style="5"/>
    <col min="13" max="13" width="9.109375" style="5" customWidth="1"/>
    <col min="14" max="14" width="30.109375" style="5" customWidth="1" outlineLevel="1"/>
    <col min="15" max="27" width="6.109375" style="5" customWidth="1" outlineLevel="1"/>
    <col min="28" max="29" width="8.88671875" style="5"/>
    <col min="30" max="30" width="28.44140625" style="5" customWidth="1" outlineLevel="1"/>
    <col min="31" max="31" width="17.109375" style="218" customWidth="1" outlineLevel="1"/>
    <col min="32" max="33" width="8.6640625" style="5" customWidth="1" outlineLevel="1"/>
    <col min="34" max="34" width="8.88671875" style="5" customWidth="1" outlineLevel="1"/>
    <col min="35" max="35" width="8.44140625" style="5" customWidth="1"/>
    <col min="36" max="36" width="8.33203125" style="5" customWidth="1"/>
    <col min="37" max="37" width="9.44140625" style="5" customWidth="1"/>
    <col min="38" max="38" width="10.44140625" style="5" customWidth="1"/>
    <col min="39" max="16384" width="8.88671875" style="5"/>
  </cols>
  <sheetData>
    <row r="8" spans="1:34">
      <c r="A8" s="1876" t="s">
        <v>1181</v>
      </c>
      <c r="B8" s="1876"/>
      <c r="C8" s="1876"/>
      <c r="D8" s="1876"/>
      <c r="E8" s="1876"/>
      <c r="F8" s="1876"/>
      <c r="G8" s="1876"/>
      <c r="H8" s="1876"/>
      <c r="I8" s="1876"/>
      <c r="J8" s="1876"/>
      <c r="K8" s="1876"/>
      <c r="L8" s="1876"/>
      <c r="M8" s="1876"/>
    </row>
    <row r="9" spans="1:34" s="9" customFormat="1">
      <c r="A9" s="1174"/>
      <c r="B9" s="1174"/>
      <c r="C9" s="1174"/>
      <c r="D9" s="1174"/>
      <c r="E9" s="1174"/>
      <c r="F9" s="1174"/>
      <c r="G9" s="1174"/>
      <c r="H9" s="1174"/>
      <c r="I9" s="1174"/>
      <c r="J9" s="1174"/>
      <c r="K9" s="1174"/>
      <c r="L9" s="1174"/>
      <c r="M9" s="1174"/>
      <c r="AE9" s="1199"/>
    </row>
    <row r="10" spans="1:34" s="9" customFormat="1">
      <c r="A10" s="1174"/>
      <c r="B10" s="1174"/>
      <c r="C10" s="1174"/>
      <c r="D10" s="1174"/>
      <c r="E10" s="1174"/>
      <c r="F10" s="1174"/>
      <c r="G10" s="1174"/>
      <c r="H10" s="1174"/>
      <c r="I10" s="1174"/>
      <c r="J10" s="1174"/>
      <c r="K10" s="1174"/>
      <c r="L10" s="1174"/>
      <c r="M10" s="1174"/>
      <c r="AE10" s="1199"/>
    </row>
    <row r="11" spans="1:34" s="9" customFormat="1">
      <c r="A11" s="1174"/>
      <c r="B11" s="1174"/>
      <c r="C11" s="1174"/>
      <c r="D11" s="1174"/>
      <c r="E11" s="1174"/>
      <c r="F11" s="1174"/>
      <c r="G11" s="1174"/>
      <c r="H11" s="1174"/>
      <c r="I11" s="1174"/>
      <c r="J11" s="1174"/>
      <c r="K11" s="1174"/>
      <c r="L11" s="1174"/>
      <c r="M11" s="1174"/>
      <c r="AE11" s="1199"/>
    </row>
    <row r="12" spans="1:34" s="9" customFormat="1">
      <c r="A12" s="1174"/>
      <c r="B12" s="1174"/>
      <c r="C12" s="1174"/>
      <c r="D12" s="1174"/>
      <c r="E12" s="1174"/>
      <c r="F12" s="1174"/>
      <c r="G12" s="1174"/>
      <c r="H12" s="1174"/>
      <c r="I12" s="1174"/>
      <c r="J12" s="1174"/>
      <c r="K12" s="1174"/>
      <c r="L12" s="1174"/>
      <c r="M12" s="1174"/>
      <c r="AE12" s="1199"/>
    </row>
    <row r="13" spans="1:34" s="9" customFormat="1">
      <c r="AE13" s="1199"/>
    </row>
    <row r="14" spans="1:34">
      <c r="B14" s="1147" t="s">
        <v>725</v>
      </c>
      <c r="C14" s="1148"/>
      <c r="D14" s="1148"/>
      <c r="E14" s="1148"/>
    </row>
    <row r="15" spans="1:34" ht="18.600000000000001" thickBot="1">
      <c r="B15" s="2023" t="s">
        <v>726</v>
      </c>
      <c r="C15" s="2023"/>
      <c r="D15" s="1116" t="s">
        <v>0</v>
      </c>
      <c r="E15" s="1116" t="s">
        <v>739</v>
      </c>
      <c r="F15" s="1116" t="s">
        <v>727</v>
      </c>
      <c r="G15" s="1116" t="s">
        <v>728</v>
      </c>
      <c r="H15" s="1116" t="s">
        <v>739</v>
      </c>
      <c r="I15" s="1116" t="s">
        <v>729</v>
      </c>
      <c r="J15" s="1116" t="s">
        <v>739</v>
      </c>
      <c r="K15" s="7"/>
      <c r="N15" s="1144" t="s">
        <v>1512</v>
      </c>
      <c r="O15" s="757"/>
      <c r="P15" s="757"/>
      <c r="Q15" s="757"/>
      <c r="R15" s="757"/>
      <c r="S15" s="757"/>
      <c r="T15" s="757"/>
      <c r="U15" s="757"/>
      <c r="V15" s="757"/>
      <c r="W15" s="757"/>
      <c r="X15" s="757"/>
      <c r="Y15" s="757"/>
      <c r="Z15" s="757"/>
      <c r="AA15" s="757"/>
      <c r="AC15" s="758"/>
      <c r="AD15" s="1145" t="s">
        <v>1513</v>
      </c>
      <c r="AE15" s="759"/>
      <c r="AF15" s="759"/>
      <c r="AG15" s="759"/>
      <c r="AH15" s="759"/>
    </row>
    <row r="16" spans="1:34" ht="15" thickTop="1">
      <c r="B16" s="760" t="s">
        <v>730</v>
      </c>
      <c r="C16" s="761" t="s">
        <v>655</v>
      </c>
      <c r="D16" s="762">
        <f>(70%+80%)/2</f>
        <v>0.75</v>
      </c>
      <c r="E16" s="761">
        <v>1</v>
      </c>
      <c r="F16" s="761">
        <v>7</v>
      </c>
      <c r="G16" s="763">
        <f>F16*50000</f>
        <v>350000</v>
      </c>
      <c r="H16" s="761">
        <v>5</v>
      </c>
      <c r="I16" s="761" t="s">
        <v>655</v>
      </c>
      <c r="J16" s="761" t="s">
        <v>655</v>
      </c>
      <c r="K16" s="218"/>
      <c r="M16" s="663"/>
      <c r="N16" s="7"/>
      <c r="O16" s="7"/>
      <c r="P16" s="7"/>
      <c r="Q16" s="7"/>
      <c r="R16" s="7"/>
      <c r="S16" s="7"/>
      <c r="T16" s="7"/>
      <c r="U16" s="7"/>
      <c r="V16" s="7"/>
      <c r="W16" s="7"/>
      <c r="X16" s="7"/>
      <c r="Y16" s="7"/>
      <c r="Z16" s="7"/>
      <c r="AA16" s="7"/>
      <c r="AC16" s="758"/>
    </row>
    <row r="17" spans="2:36">
      <c r="B17" s="764" t="s">
        <v>731</v>
      </c>
      <c r="C17" s="765" t="s">
        <v>732</v>
      </c>
      <c r="D17" s="766">
        <f t="shared" ref="D17:D18" si="0">(70%+80%)/2</f>
        <v>0.75</v>
      </c>
      <c r="E17" s="767">
        <v>1</v>
      </c>
      <c r="F17" s="767">
        <v>5</v>
      </c>
      <c r="G17" s="768">
        <f>F17*50000</f>
        <v>250000</v>
      </c>
      <c r="H17" s="767">
        <v>5</v>
      </c>
      <c r="I17" s="767" t="s">
        <v>655</v>
      </c>
      <c r="J17" s="767" t="s">
        <v>655</v>
      </c>
      <c r="K17" s="218"/>
      <c r="M17" s="663"/>
      <c r="N17" s="7"/>
      <c r="O17" s="7"/>
      <c r="P17" s="7"/>
      <c r="Q17" s="7"/>
      <c r="R17" s="7"/>
      <c r="S17" s="7"/>
      <c r="T17" s="7"/>
      <c r="U17" s="7"/>
      <c r="V17" s="7"/>
      <c r="W17" s="7"/>
      <c r="X17" s="7"/>
      <c r="Y17" s="7"/>
      <c r="Z17" s="7"/>
      <c r="AA17" s="7"/>
      <c r="AB17" s="769"/>
      <c r="AC17" s="769"/>
      <c r="AD17" s="5" t="s">
        <v>733</v>
      </c>
    </row>
    <row r="18" spans="2:36" ht="16.2" thickBot="1">
      <c r="B18" s="764" t="s">
        <v>654</v>
      </c>
      <c r="C18" s="765" t="s">
        <v>734</v>
      </c>
      <c r="D18" s="766">
        <f t="shared" si="0"/>
        <v>0.75</v>
      </c>
      <c r="E18" s="767">
        <v>1</v>
      </c>
      <c r="F18" s="767">
        <v>2.5</v>
      </c>
      <c r="G18" s="768">
        <f>F18*50000</f>
        <v>125000</v>
      </c>
      <c r="H18" s="767">
        <v>7</v>
      </c>
      <c r="I18" s="767" t="s">
        <v>655</v>
      </c>
      <c r="J18" s="767" t="s">
        <v>655</v>
      </c>
      <c r="K18" s="218"/>
      <c r="M18" s="663"/>
      <c r="AB18" s="769"/>
      <c r="AC18" s="769"/>
      <c r="AD18" s="1116" t="s">
        <v>737</v>
      </c>
      <c r="AE18" s="1116" t="s">
        <v>738</v>
      </c>
      <c r="AF18" s="1116" t="s">
        <v>1432</v>
      </c>
      <c r="AG18" s="1116" t="s">
        <v>1433</v>
      </c>
      <c r="AH18" s="1116" t="s">
        <v>739</v>
      </c>
      <c r="AI18" s="770"/>
    </row>
    <row r="19" spans="2:36" ht="15" thickTop="1">
      <c r="B19" s="764" t="s">
        <v>735</v>
      </c>
      <c r="C19" s="765" t="s">
        <v>736</v>
      </c>
      <c r="D19" s="766">
        <v>0.55000000000000004</v>
      </c>
      <c r="E19" s="767">
        <v>7</v>
      </c>
      <c r="F19" s="767">
        <v>4</v>
      </c>
      <c r="G19" s="768">
        <f t="shared" ref="G19:G65" si="1">F19*50000</f>
        <v>200000</v>
      </c>
      <c r="H19" s="767">
        <v>5</v>
      </c>
      <c r="I19" s="767" t="s">
        <v>655</v>
      </c>
      <c r="J19" s="767" t="s">
        <v>655</v>
      </c>
      <c r="K19" s="218"/>
      <c r="M19" s="663"/>
      <c r="O19" s="1132" t="s">
        <v>1434</v>
      </c>
      <c r="P19" s="1133"/>
      <c r="Q19" s="1133"/>
      <c r="R19" s="1133"/>
      <c r="S19" s="1133"/>
      <c r="T19" s="1133"/>
      <c r="U19" s="1133"/>
      <c r="V19" s="1133"/>
      <c r="W19" s="1133"/>
      <c r="X19" s="1133"/>
      <c r="Y19" s="1133"/>
      <c r="Z19" s="1133"/>
      <c r="AA19" s="2034" t="s">
        <v>1435</v>
      </c>
      <c r="AB19" s="769"/>
      <c r="AC19" s="769"/>
      <c r="AD19" s="771"/>
      <c r="AE19" s="772"/>
      <c r="AF19" s="773"/>
      <c r="AG19" s="774"/>
      <c r="AH19" s="772"/>
      <c r="AI19" s="770"/>
    </row>
    <row r="20" spans="2:36">
      <c r="B20" s="764" t="s">
        <v>740</v>
      </c>
      <c r="C20" s="765" t="s">
        <v>741</v>
      </c>
      <c r="D20" s="766">
        <v>0.2</v>
      </c>
      <c r="E20" s="767" t="s">
        <v>742</v>
      </c>
      <c r="F20" s="767">
        <v>4</v>
      </c>
      <c r="G20" s="768">
        <f t="shared" si="1"/>
        <v>200000</v>
      </c>
      <c r="H20" s="767">
        <v>7</v>
      </c>
      <c r="I20" s="767" t="s">
        <v>655</v>
      </c>
      <c r="J20" s="767" t="s">
        <v>655</v>
      </c>
      <c r="K20" s="218"/>
      <c r="N20" s="569"/>
      <c r="O20" s="1136">
        <v>1</v>
      </c>
      <c r="P20" s="1136">
        <v>2</v>
      </c>
      <c r="Q20" s="1136">
        <v>3</v>
      </c>
      <c r="R20" s="1136">
        <v>4</v>
      </c>
      <c r="S20" s="1136">
        <v>5</v>
      </c>
      <c r="T20" s="1136">
        <v>6</v>
      </c>
      <c r="U20" s="1136">
        <v>7</v>
      </c>
      <c r="V20" s="1136">
        <v>8</v>
      </c>
      <c r="W20" s="1136">
        <v>9</v>
      </c>
      <c r="X20" s="1136">
        <v>10</v>
      </c>
      <c r="Y20" s="1136">
        <v>11</v>
      </c>
      <c r="Z20" s="1136">
        <v>12</v>
      </c>
      <c r="AA20" s="2035"/>
      <c r="AB20" s="769"/>
      <c r="AC20" s="769"/>
      <c r="AD20" s="775" t="s">
        <v>743</v>
      </c>
      <c r="AE20" s="776" t="s">
        <v>744</v>
      </c>
      <c r="AF20" s="777">
        <v>2.1</v>
      </c>
      <c r="AG20" s="778">
        <v>0.5</v>
      </c>
      <c r="AH20" s="776">
        <v>1</v>
      </c>
      <c r="AI20" s="770"/>
      <c r="AJ20" s="770"/>
    </row>
    <row r="21" spans="2:36">
      <c r="B21" s="764" t="s">
        <v>659</v>
      </c>
      <c r="C21" s="779" t="s">
        <v>745</v>
      </c>
      <c r="D21" s="766">
        <f>(15%+50%)/2</f>
        <v>0.32500000000000001</v>
      </c>
      <c r="E21" s="767">
        <v>4</v>
      </c>
      <c r="F21" s="767">
        <v>3.5</v>
      </c>
      <c r="G21" s="768">
        <f t="shared" si="1"/>
        <v>175000</v>
      </c>
      <c r="H21" s="767" t="s">
        <v>655</v>
      </c>
      <c r="I21" s="767" t="s">
        <v>655</v>
      </c>
      <c r="J21" s="767" t="s">
        <v>655</v>
      </c>
      <c r="K21" s="218"/>
      <c r="N21" s="1118" t="s">
        <v>746</v>
      </c>
      <c r="O21" s="1140" t="e">
        <f>IF('Regulação de polinização'!E103="Água",0,VLOOKUP('Regulação de polinização'!E103,'Apoio Regulação de Polinização'!$J$101:$K$131,2,FALSE))</f>
        <v>#N/A</v>
      </c>
      <c r="P21" s="1140" t="e">
        <f>IF('Regulação de polinização'!F103="Água",0,VLOOKUP('Regulação de polinização'!F103,'Apoio Regulação de Polinização'!$J$101:$K$131,2,FALSE))</f>
        <v>#N/A</v>
      </c>
      <c r="Q21" s="1140" t="e">
        <f>IF('Regulação de polinização'!G103="Água",0,VLOOKUP('Regulação de polinização'!G103,'Apoio Regulação de Polinização'!$J$101:$K$131,2,FALSE))</f>
        <v>#N/A</v>
      </c>
      <c r="R21" s="1140" t="e">
        <f>IF('Regulação de polinização'!H103="Água",0,VLOOKUP('Regulação de polinização'!H103,'Apoio Regulação de Polinização'!$J$101:$K$131,2,FALSE))</f>
        <v>#N/A</v>
      </c>
      <c r="S21" s="1140" t="e">
        <f>IF('Regulação de polinização'!I103="Água",0,VLOOKUP('Regulação de polinização'!I103,'Apoio Regulação de Polinização'!$J$101:$K$131,2,FALSE))</f>
        <v>#N/A</v>
      </c>
      <c r="T21" s="1140" t="e">
        <f>IF('Regulação de polinização'!J103="Água",0,VLOOKUP('Regulação de polinização'!J103,'Apoio Regulação de Polinização'!$J$101:$K$131,2,FALSE))</f>
        <v>#N/A</v>
      </c>
      <c r="U21" s="1140" t="e">
        <f>IF('Regulação de polinização'!K103="Água",0,VLOOKUP('Regulação de polinização'!K103,'Apoio Regulação de Polinização'!$J$101:$K$131,2,FALSE))</f>
        <v>#N/A</v>
      </c>
      <c r="V21" s="1140" t="e">
        <f>IF('Regulação de polinização'!L103="Água",0,VLOOKUP('Regulação de polinização'!L103,'Apoio Regulação de Polinização'!$J$101:$K$131,2,FALSE))</f>
        <v>#N/A</v>
      </c>
      <c r="W21" s="1140" t="e">
        <f>IF('Regulação de polinização'!M103="Água",0,VLOOKUP('Regulação de polinização'!M103,'Apoio Regulação de Polinização'!$J$101:$K$131,2,FALSE))</f>
        <v>#N/A</v>
      </c>
      <c r="X21" s="1140" t="e">
        <f>IF('Regulação de polinização'!N103="Água",0,VLOOKUP('Regulação de polinização'!N103,'Apoio Regulação de Polinização'!$J$101:$K$131,2,FALSE))</f>
        <v>#N/A</v>
      </c>
      <c r="Y21" s="1140" t="e">
        <f>IF('Regulação de polinização'!O103="Água",0,VLOOKUP('Regulação de polinização'!O103,'Apoio Regulação de Polinização'!$J$101:$K$131,2,FALSE))</f>
        <v>#N/A</v>
      </c>
      <c r="Z21" s="1140" t="e">
        <f>IF('Regulação de polinização'!P103="Água",0,VLOOKUP('Regulação de polinização'!P103,'Apoio Regulação de Polinização'!$J$101:$K$131,2,FALSE))</f>
        <v>#N/A</v>
      </c>
      <c r="AA21" s="2035"/>
      <c r="AB21" s="769"/>
      <c r="AC21" s="769"/>
      <c r="AD21" s="775" t="s">
        <v>747</v>
      </c>
      <c r="AE21" s="776" t="s">
        <v>744</v>
      </c>
      <c r="AF21" s="780">
        <v>3</v>
      </c>
      <c r="AG21" s="778">
        <v>1.8</v>
      </c>
      <c r="AH21" s="776">
        <v>1</v>
      </c>
      <c r="AI21" s="770"/>
      <c r="AJ21" s="770"/>
    </row>
    <row r="22" spans="2:36">
      <c r="B22" s="764" t="s">
        <v>748</v>
      </c>
      <c r="C22" s="779" t="s">
        <v>749</v>
      </c>
      <c r="D22" s="766">
        <v>0.26800000000000002</v>
      </c>
      <c r="E22" s="767">
        <v>2</v>
      </c>
      <c r="F22" s="767">
        <v>8</v>
      </c>
      <c r="G22" s="768">
        <f t="shared" si="1"/>
        <v>400000</v>
      </c>
      <c r="H22" s="767">
        <v>5</v>
      </c>
      <c r="I22" s="1530">
        <v>1.3859999999999999</v>
      </c>
      <c r="J22" s="767">
        <v>2</v>
      </c>
      <c r="K22" s="218"/>
      <c r="N22" s="1135" t="s">
        <v>1436</v>
      </c>
      <c r="O22" s="1141"/>
      <c r="P22" s="1142" t="e">
        <f t="shared" ref="P22:Z22" si="2">($O$21-P21)/0.1</f>
        <v>#N/A</v>
      </c>
      <c r="Q22" s="1142" t="e">
        <f t="shared" si="2"/>
        <v>#N/A</v>
      </c>
      <c r="R22" s="1142" t="e">
        <f t="shared" si="2"/>
        <v>#N/A</v>
      </c>
      <c r="S22" s="1142" t="e">
        <f t="shared" si="2"/>
        <v>#N/A</v>
      </c>
      <c r="T22" s="1142" t="e">
        <f t="shared" si="2"/>
        <v>#N/A</v>
      </c>
      <c r="U22" s="1142" t="e">
        <f t="shared" si="2"/>
        <v>#N/A</v>
      </c>
      <c r="V22" s="1142" t="e">
        <f t="shared" si="2"/>
        <v>#N/A</v>
      </c>
      <c r="W22" s="1142" t="e">
        <f t="shared" si="2"/>
        <v>#N/A</v>
      </c>
      <c r="X22" s="1142" t="e">
        <f t="shared" si="2"/>
        <v>#N/A</v>
      </c>
      <c r="Y22" s="1142" t="e">
        <f t="shared" si="2"/>
        <v>#N/A</v>
      </c>
      <c r="Z22" s="1142" t="e">
        <f t="shared" si="2"/>
        <v>#N/A</v>
      </c>
      <c r="AA22" s="2036"/>
      <c r="AB22" s="769"/>
      <c r="AC22" s="769"/>
      <c r="AD22" s="775" t="s">
        <v>750</v>
      </c>
      <c r="AE22" s="776" t="s">
        <v>744</v>
      </c>
      <c r="AF22" s="777">
        <v>3.1</v>
      </c>
      <c r="AG22" s="778">
        <v>2</v>
      </c>
      <c r="AH22" s="776">
        <v>1</v>
      </c>
      <c r="AI22" s="770"/>
      <c r="AJ22" s="770"/>
    </row>
    <row r="23" spans="2:36" ht="15.6">
      <c r="B23" s="764" t="s">
        <v>751</v>
      </c>
      <c r="C23" s="765" t="s">
        <v>752</v>
      </c>
      <c r="D23" s="766">
        <v>0.7</v>
      </c>
      <c r="E23" s="767">
        <v>7</v>
      </c>
      <c r="F23" s="767">
        <v>5</v>
      </c>
      <c r="G23" s="768">
        <f t="shared" si="1"/>
        <v>250000</v>
      </c>
      <c r="H23" s="767">
        <v>5</v>
      </c>
      <c r="I23" s="767" t="s">
        <v>655</v>
      </c>
      <c r="J23" s="767" t="s">
        <v>655</v>
      </c>
      <c r="K23" s="218"/>
      <c r="N23" s="1120" t="s">
        <v>753</v>
      </c>
      <c r="O23" s="2037" t="s">
        <v>1437</v>
      </c>
      <c r="P23" s="2038"/>
      <c r="Q23" s="2038"/>
      <c r="R23" s="2038"/>
      <c r="S23" s="2038"/>
      <c r="T23" s="2038"/>
      <c r="U23" s="2038"/>
      <c r="V23" s="2038"/>
      <c r="W23" s="2038"/>
      <c r="X23" s="2038"/>
      <c r="Y23" s="2038"/>
      <c r="Z23" s="2039"/>
      <c r="AA23" s="1137" t="s">
        <v>754</v>
      </c>
      <c r="AB23" s="769"/>
      <c r="AC23" s="769"/>
      <c r="AD23" s="775" t="s">
        <v>755</v>
      </c>
      <c r="AE23" s="776" t="s">
        <v>744</v>
      </c>
      <c r="AF23" s="777">
        <v>2.2000000000000002</v>
      </c>
      <c r="AG23" s="778">
        <v>0.6</v>
      </c>
      <c r="AH23" s="776">
        <v>1</v>
      </c>
      <c r="AI23" s="770"/>
      <c r="AJ23" s="770"/>
    </row>
    <row r="24" spans="2:36">
      <c r="B24" s="764" t="s">
        <v>756</v>
      </c>
      <c r="C24" s="765" t="s">
        <v>757</v>
      </c>
      <c r="D24" s="766">
        <v>0.85</v>
      </c>
      <c r="E24" s="767" t="s">
        <v>655</v>
      </c>
      <c r="F24" s="767">
        <v>8</v>
      </c>
      <c r="G24" s="768">
        <f t="shared" si="1"/>
        <v>400000</v>
      </c>
      <c r="H24" s="767">
        <v>5</v>
      </c>
      <c r="I24" s="767" t="s">
        <v>655</v>
      </c>
      <c r="J24" s="767" t="s">
        <v>655</v>
      </c>
      <c r="K24" s="218"/>
      <c r="N24" s="1121">
        <f>'Regulação de polinização'!C112</f>
        <v>0</v>
      </c>
      <c r="O24" s="1138">
        <f>'Regulação de polinização'!E112</f>
        <v>0</v>
      </c>
      <c r="P24" s="1138" t="e">
        <f>IF(P$21=0,0,IF('Regulação de polinização'!F112&gt;0,'Regulação de polinização'!F112,TRUNC(IF(P$22=0,$O24,IF(P$22&lt;0,$O24*(1+(-P$22*0.232)),$O24/(1+(P$22*0.232)))))))</f>
        <v>#N/A</v>
      </c>
      <c r="Q24" s="1138" t="e">
        <f>IF(Q$21=0,0,IF('Regulação de polinização'!G112&gt;0,'Regulação de polinização'!G112,TRUNC(IF(Q$22=0,$O24,IF(Q$22&lt;0,$O24*(1+(-Q$22*0.232)),$O24/(1+(Q$22*0.232)))))))</f>
        <v>#N/A</v>
      </c>
      <c r="R24" s="1138" t="e">
        <f>IF(R$21=0,0,IF('Regulação de polinização'!H112&gt;0,'Regulação de polinização'!H112,TRUNC(IF(R$22=0,$O24,IF(R$22&lt;0,$O24*(1+(-R$22*0.232)),$O24/(1+(R$22*0.232)))))))</f>
        <v>#N/A</v>
      </c>
      <c r="S24" s="1138" t="e">
        <f>IF(S$21=0,0,IF('Regulação de polinização'!I112&gt;0,'Regulação de polinização'!I112,TRUNC(IF(S$22=0,$O24,IF(S$22&lt;0,$O24*(1+(-S$22*0.232)),$O24/(1+(S$22*0.232)))))))</f>
        <v>#N/A</v>
      </c>
      <c r="T24" s="1138" t="e">
        <f>IF(T$21=0,0,IF('Regulação de polinização'!J112&gt;0,'Regulação de polinização'!J112,TRUNC(IF(T$22=0,$O24,IF(T$22&lt;0,$O24*(1+(-T$22*0.232)),$O24/(1+(T$22*0.232)))))))</f>
        <v>#N/A</v>
      </c>
      <c r="U24" s="1138" t="e">
        <f>IF(U$21=0,0,IF('Regulação de polinização'!K112&gt;0,'Regulação de polinização'!K112,TRUNC(IF(U$22=0,$O24,IF(U$22&lt;0,$O24*(1+(-U$22*0.232)),$O24/(1+(U$22*0.232)))))))</f>
        <v>#N/A</v>
      </c>
      <c r="V24" s="1138" t="e">
        <f>IF(V$21=0,0,IF('Regulação de polinização'!L112&gt;0,'Regulação de polinização'!L112,TRUNC(IF(V$22=0,$O24,IF(V$22&lt;0,$O24*(1+(-V$22*0.232)),$O24/(1+(V$22*0.232)))))))</f>
        <v>#N/A</v>
      </c>
      <c r="W24" s="1138" t="e">
        <f>IF(W$21=0,0,IF('Regulação de polinização'!M112&gt;0,'Regulação de polinização'!M112,TRUNC(IF(W$22=0,$O24,IF(W$22&lt;0,$O24*(1+(-W$22*0.232)),$O24/(1+(W$22*0.232)))))))</f>
        <v>#N/A</v>
      </c>
      <c r="X24" s="1138" t="e">
        <f>IF(X$21=0,0,IF('Regulação de polinização'!N112&gt;0,'Regulação de polinização'!N112,TRUNC(IF(X$22=0,$O24,IF(X$22&lt;0,$O24*(1+(-X$22*0.232)),$O24/(1+(X$22*0.232)))))))</f>
        <v>#N/A</v>
      </c>
      <c r="Y24" s="1138" t="e">
        <f>IF(Y$21=0,0,IF('Regulação de polinização'!O112&gt;0,'Regulação de polinização'!O112,TRUNC(IF(Y$22=0,$O24,IF(Y$22&lt;0,$O24*(1+(-Y$22*0.232)),$O24/(1+(Y$22*0.232)))))))</f>
        <v>#N/A</v>
      </c>
      <c r="Z24" s="1138" t="e">
        <f>IF(Z$21=0,0,IF('Regulação de polinização'!P112&gt;0,'Regulação de polinização'!P112,TRUNC(IF(Z$22=0,$O24,IF(Z$22&lt;0,$O24*(1+(-Z$22*0.232)),$O24/(1+(Z$22*0.232)))))))</f>
        <v>#N/A</v>
      </c>
      <c r="AA24" s="1127" t="e">
        <f>IF('Regulação de polinização'!Q112&gt;0,'Regulação de polinização'!Q112,VLOOKUP(N24,'Apoio Regulação de Polinização'!$AD$20:$AH$81,4,FALSE))</f>
        <v>#N/A</v>
      </c>
      <c r="AB24" s="769"/>
      <c r="AC24" s="769"/>
      <c r="AD24" s="775" t="s">
        <v>758</v>
      </c>
      <c r="AE24" s="776" t="s">
        <v>744</v>
      </c>
      <c r="AF24" s="777">
        <v>2.8</v>
      </c>
      <c r="AG24" s="778">
        <v>1.3</v>
      </c>
      <c r="AH24" s="776">
        <v>1</v>
      </c>
      <c r="AI24" s="770"/>
      <c r="AJ24" s="770"/>
    </row>
    <row r="25" spans="2:36" ht="15.75" customHeight="1">
      <c r="B25" s="764" t="s">
        <v>759</v>
      </c>
      <c r="C25" s="765" t="s">
        <v>760</v>
      </c>
      <c r="D25" s="767" t="s">
        <v>655</v>
      </c>
      <c r="E25" s="767" t="s">
        <v>655</v>
      </c>
      <c r="F25" s="767">
        <v>7</v>
      </c>
      <c r="G25" s="768">
        <f t="shared" si="1"/>
        <v>350000</v>
      </c>
      <c r="H25" s="767">
        <v>5</v>
      </c>
      <c r="I25" s="767" t="s">
        <v>655</v>
      </c>
      <c r="J25" s="767" t="s">
        <v>655</v>
      </c>
      <c r="K25" s="218"/>
      <c r="N25" s="1121">
        <f>'Regulação de polinização'!C113</f>
        <v>0</v>
      </c>
      <c r="O25" s="1138">
        <f>'Regulação de polinização'!E113</f>
        <v>0</v>
      </c>
      <c r="P25" s="1138" t="e">
        <f>IF(P$21=0,0,IF('Regulação de polinização'!F113&gt;0,'Regulação de polinização'!F113,TRUNC(IF(P$22=0,$O25,IF(P$22&lt;0,$O25*(1+(-P$22*0.232)),$O25/(1+(P$22*0.232)))))))</f>
        <v>#N/A</v>
      </c>
      <c r="Q25" s="1138" t="e">
        <f>IF(Q$21=0,0,IF('Regulação de polinização'!G113&gt;0,'Regulação de polinização'!G113,TRUNC(IF(Q$22=0,$O25,IF(Q$22&lt;0,$O25*(1+(-Q$22*0.232)),$O25/(1+(Q$22*0.232)))))))</f>
        <v>#N/A</v>
      </c>
      <c r="R25" s="1138" t="e">
        <f>IF(R$21=0,0,IF('Regulação de polinização'!H113&gt;0,'Regulação de polinização'!H113,TRUNC(IF(R$22=0,$O25,IF(R$22&lt;0,$O25*(1+(-R$22*0.232)),$O25/(1+(R$22*0.232)))))))</f>
        <v>#N/A</v>
      </c>
      <c r="S25" s="1138" t="e">
        <f>IF(S$21=0,0,IF('Regulação de polinização'!I113&gt;0,'Regulação de polinização'!I113,TRUNC(IF(S$22=0,$O25,IF(S$22&lt;0,$O25*(1+(-S$22*0.232)),$O25/(1+(S$22*0.232)))))))</f>
        <v>#N/A</v>
      </c>
      <c r="T25" s="1138" t="e">
        <f>IF(T$21=0,0,IF('Regulação de polinização'!J113&gt;0,'Regulação de polinização'!J113,TRUNC(IF(T$22=0,$O25,IF(T$22&lt;0,$O25*(1+(-T$22*0.232)),$O25/(1+(T$22*0.232)))))))</f>
        <v>#N/A</v>
      </c>
      <c r="U25" s="1138" t="e">
        <f>IF(U$21=0,0,IF('Regulação de polinização'!K113&gt;0,'Regulação de polinização'!K113,TRUNC(IF(U$22=0,$O25,IF(U$22&lt;0,$O25*(1+(-U$22*0.232)),$O25/(1+(U$22*0.232)))))))</f>
        <v>#N/A</v>
      </c>
      <c r="V25" s="1138" t="e">
        <f>IF(V$21=0,0,IF('Regulação de polinização'!L113&gt;0,'Regulação de polinização'!L113,TRUNC(IF(V$22=0,$O25,IF(V$22&lt;0,$O25*(1+(-V$22*0.232)),$O25/(1+(V$22*0.232)))))))</f>
        <v>#N/A</v>
      </c>
      <c r="W25" s="1138" t="e">
        <f>IF(W$21=0,0,IF('Regulação de polinização'!M113&gt;0,'Regulação de polinização'!M113,TRUNC(IF(W$22=0,$O25,IF(W$22&lt;0,$O25*(1+(-W$22*0.232)),$O25/(1+(W$22*0.232)))))))</f>
        <v>#N/A</v>
      </c>
      <c r="X25" s="1138" t="e">
        <f>IF(X$21=0,0,IF('Regulação de polinização'!N113&gt;0,'Regulação de polinização'!N113,TRUNC(IF(X$22=0,$O25,IF(X$22&lt;0,$O25*(1+(-X$22*0.232)),$O25/(1+(X$22*0.232)))))))</f>
        <v>#N/A</v>
      </c>
      <c r="Y25" s="1138" t="e">
        <f>IF(Y$21=0,0,IF('Regulação de polinização'!O113&gt;0,'Regulação de polinização'!O113,TRUNC(IF(Y$22=0,$O25,IF(Y$22&lt;0,$O25*(1+(-Y$22*0.232)),$O25/(1+(Y$22*0.232)))))))</f>
        <v>#N/A</v>
      </c>
      <c r="Z25" s="1138" t="e">
        <f>IF(Z$21=0,0,IF('Regulação de polinização'!P113&gt;0,'Regulação de polinização'!P113,TRUNC(IF(Z$22=0,$O25,IF(Z$22&lt;0,$O25*(1+(-Z$22*0.232)),$O25/(1+(Z$22*0.232)))))))</f>
        <v>#N/A</v>
      </c>
      <c r="AA25" s="1127" t="e">
        <f>IF('Regulação de polinização'!Q113&gt;0,'Regulação de polinização'!Q113,VLOOKUP(N25,'Apoio Regulação de Polinização'!$AD$20:$AH$81,4,FALSE))</f>
        <v>#N/A</v>
      </c>
      <c r="AB25" s="769"/>
      <c r="AC25" s="769"/>
      <c r="AD25" s="781" t="s">
        <v>761</v>
      </c>
      <c r="AE25" s="776" t="s">
        <v>762</v>
      </c>
      <c r="AF25" s="777">
        <v>3.9</v>
      </c>
      <c r="AG25" s="778">
        <v>2.2999999999999998</v>
      </c>
      <c r="AH25" s="782">
        <v>1</v>
      </c>
      <c r="AI25" s="770"/>
      <c r="AJ25" s="770"/>
    </row>
    <row r="26" spans="2:36">
      <c r="B26" s="764" t="s">
        <v>763</v>
      </c>
      <c r="C26" s="765" t="s">
        <v>764</v>
      </c>
      <c r="D26" s="766">
        <v>0.3</v>
      </c>
      <c r="E26" s="767">
        <v>7</v>
      </c>
      <c r="F26" s="767">
        <v>5</v>
      </c>
      <c r="G26" s="768">
        <f t="shared" si="1"/>
        <v>250000</v>
      </c>
      <c r="H26" s="767">
        <v>5</v>
      </c>
      <c r="I26" s="767" t="s">
        <v>655</v>
      </c>
      <c r="J26" s="767" t="s">
        <v>655</v>
      </c>
      <c r="K26" s="218"/>
      <c r="N26" s="1121">
        <f>'Regulação de polinização'!C114</f>
        <v>0</v>
      </c>
      <c r="O26" s="1138">
        <f>'Regulação de polinização'!E114</f>
        <v>0</v>
      </c>
      <c r="P26" s="1138" t="e">
        <f>IF(P$21=0,0,IF('Regulação de polinização'!F114&gt;0,'Regulação de polinização'!F114,TRUNC(IF(P$22=0,$O26,IF(P$22&lt;0,$O26*(1+(-P$22*0.232)),$O26/(1+(P$22*0.232)))))))</f>
        <v>#N/A</v>
      </c>
      <c r="Q26" s="1138" t="e">
        <f>IF(Q$21=0,0,IF('Regulação de polinização'!G114&gt;0,'Regulação de polinização'!G114,TRUNC(IF(Q$22=0,$O26,IF(Q$22&lt;0,$O26*(1+(-Q$22*0.232)),$O26/(1+(Q$22*0.232)))))))</f>
        <v>#N/A</v>
      </c>
      <c r="R26" s="1138" t="e">
        <f>IF(R$21=0,0,IF('Regulação de polinização'!H114&gt;0,'Regulação de polinização'!H114,TRUNC(IF(R$22=0,$O26,IF(R$22&lt;0,$O26*(1+(-R$22*0.232)),$O26/(1+(R$22*0.232)))))))</f>
        <v>#N/A</v>
      </c>
      <c r="S26" s="1138" t="e">
        <f>IF(S$21=0,0,IF('Regulação de polinização'!I114&gt;0,'Regulação de polinização'!I114,TRUNC(IF(S$22=0,$O26,IF(S$22&lt;0,$O26*(1+(-S$22*0.232)),$O26/(1+(S$22*0.232)))))))</f>
        <v>#N/A</v>
      </c>
      <c r="T26" s="1138" t="e">
        <f>IF(T$21=0,0,IF('Regulação de polinização'!J114&gt;0,'Regulação de polinização'!J114,TRUNC(IF(T$22=0,$O26,IF(T$22&lt;0,$O26*(1+(-T$22*0.232)),$O26/(1+(T$22*0.232)))))))</f>
        <v>#N/A</v>
      </c>
      <c r="U26" s="1138" t="e">
        <f>IF(U$21=0,0,IF('Regulação de polinização'!K114&gt;0,'Regulação de polinização'!K114,TRUNC(IF(U$22=0,$O26,IF(U$22&lt;0,$O26*(1+(-U$22*0.232)),$O26/(1+(U$22*0.232)))))))</f>
        <v>#N/A</v>
      </c>
      <c r="V26" s="1138" t="e">
        <f>IF(V$21=0,0,IF('Regulação de polinização'!L114&gt;0,'Regulação de polinização'!L114,TRUNC(IF(V$22=0,$O26,IF(V$22&lt;0,$O26*(1+(-V$22*0.232)),$O26/(1+(V$22*0.232)))))))</f>
        <v>#N/A</v>
      </c>
      <c r="W26" s="1138" t="e">
        <f>IF(W$21=0,0,IF('Regulação de polinização'!M114&gt;0,'Regulação de polinização'!M114,TRUNC(IF(W$22=0,$O26,IF(W$22&lt;0,$O26*(1+(-W$22*0.232)),$O26/(1+(W$22*0.232)))))))</f>
        <v>#N/A</v>
      </c>
      <c r="X26" s="1138" t="e">
        <f>IF(X$21=0,0,IF('Regulação de polinização'!N114&gt;0,'Regulação de polinização'!N114,TRUNC(IF(X$22=0,$O26,IF(X$22&lt;0,$O26*(1+(-X$22*0.232)),$O26/(1+(X$22*0.232)))))))</f>
        <v>#N/A</v>
      </c>
      <c r="Y26" s="1138" t="e">
        <f>IF(Y$21=0,0,IF('Regulação de polinização'!O114&gt;0,'Regulação de polinização'!O114,TRUNC(IF(Y$22=0,$O26,IF(Y$22&lt;0,$O26*(1+(-Y$22*0.232)),$O26/(1+(Y$22*0.232)))))))</f>
        <v>#N/A</v>
      </c>
      <c r="Z26" s="1138" t="e">
        <f>IF(Z$21=0,0,IF('Regulação de polinização'!P114&gt;0,'Regulação de polinização'!P114,TRUNC(IF(Z$22=0,$O26,IF(Z$22&lt;0,$O26*(1+(-Z$22*0.232)),$O26/(1+(Z$22*0.232)))))))</f>
        <v>#N/A</v>
      </c>
      <c r="AA26" s="1127" t="e">
        <f>IF('Regulação de polinização'!Q114&gt;0,'Regulação de polinização'!Q114,VLOOKUP(N26,'Apoio Regulação de Polinização'!$AD$20:$AH$81,4,FALSE))</f>
        <v>#N/A</v>
      </c>
      <c r="AB26" s="769"/>
      <c r="AC26" s="769"/>
      <c r="AD26" s="775" t="s">
        <v>765</v>
      </c>
      <c r="AE26" s="776" t="s">
        <v>762</v>
      </c>
      <c r="AF26" s="777">
        <v>4.9000000000000004</v>
      </c>
      <c r="AG26" s="778">
        <v>8.8000000000000007</v>
      </c>
      <c r="AH26" s="776">
        <v>1</v>
      </c>
      <c r="AI26" s="770"/>
      <c r="AJ26" s="770"/>
    </row>
    <row r="27" spans="2:36">
      <c r="B27" s="764" t="s">
        <v>766</v>
      </c>
      <c r="C27" s="779" t="s">
        <v>767</v>
      </c>
      <c r="D27" s="766">
        <v>0.64</v>
      </c>
      <c r="E27" s="767">
        <v>7</v>
      </c>
      <c r="F27" s="767">
        <v>5</v>
      </c>
      <c r="G27" s="768">
        <f t="shared" si="1"/>
        <v>250000</v>
      </c>
      <c r="H27" s="767">
        <v>5</v>
      </c>
      <c r="I27" s="767" t="s">
        <v>655</v>
      </c>
      <c r="J27" s="767" t="s">
        <v>655</v>
      </c>
      <c r="K27" s="218"/>
      <c r="N27" s="1121">
        <f>'Regulação de polinização'!C115</f>
        <v>0</v>
      </c>
      <c r="O27" s="1138">
        <f>'Regulação de polinização'!E115</f>
        <v>0</v>
      </c>
      <c r="P27" s="1138" t="e">
        <f>IF(P$21=0,0,IF('Regulação de polinização'!F115&gt;0,'Regulação de polinização'!F115,TRUNC(IF(P$22=0,$O27,IF(P$22&lt;0,$O27*(1+(-P$22*0.232)),$O27/(1+(P$22*0.232)))))))</f>
        <v>#N/A</v>
      </c>
      <c r="Q27" s="1138" t="e">
        <f>IF(Q$21=0,0,IF('Regulação de polinização'!G115&gt;0,'Regulação de polinização'!G115,TRUNC(IF(Q$22=0,$O27,IF(Q$22&lt;0,$O27*(1+(-Q$22*0.232)),$O27/(1+(Q$22*0.232)))))))</f>
        <v>#N/A</v>
      </c>
      <c r="R27" s="1138" t="e">
        <f>IF(R$21=0,0,IF('Regulação de polinização'!H115&gt;0,'Regulação de polinização'!H115,TRUNC(IF(R$22=0,$O27,IF(R$22&lt;0,$O27*(1+(-R$22*0.232)),$O27/(1+(R$22*0.232)))))))</f>
        <v>#N/A</v>
      </c>
      <c r="S27" s="1138" t="e">
        <f>IF(S$21=0,0,IF('Regulação de polinização'!I115&gt;0,'Regulação de polinização'!I115,TRUNC(IF(S$22=0,$O27,IF(S$22&lt;0,$O27*(1+(-S$22*0.232)),$O27/(1+(S$22*0.232)))))))</f>
        <v>#N/A</v>
      </c>
      <c r="T27" s="1138" t="e">
        <f>IF(T$21=0,0,IF('Regulação de polinização'!J115&gt;0,'Regulação de polinização'!J115,TRUNC(IF(T$22=0,$O27,IF(T$22&lt;0,$O27*(1+(-T$22*0.232)),$O27/(1+(T$22*0.232)))))))</f>
        <v>#N/A</v>
      </c>
      <c r="U27" s="1138" t="e">
        <f>IF(U$21=0,0,IF('Regulação de polinização'!K115&gt;0,'Regulação de polinização'!K115,TRUNC(IF(U$22=0,$O27,IF(U$22&lt;0,$O27*(1+(-U$22*0.232)),$O27/(1+(U$22*0.232)))))))</f>
        <v>#N/A</v>
      </c>
      <c r="V27" s="1138" t="e">
        <f>IF(V$21=0,0,IF('Regulação de polinização'!L115&gt;0,'Regulação de polinização'!L115,TRUNC(IF(V$22=0,$O27,IF(V$22&lt;0,$O27*(1+(-V$22*0.232)),$O27/(1+(V$22*0.232)))))))</f>
        <v>#N/A</v>
      </c>
      <c r="W27" s="1138" t="e">
        <f>IF(W$21=0,0,IF('Regulação de polinização'!M115&gt;0,'Regulação de polinização'!M115,TRUNC(IF(W$22=0,$O27,IF(W$22&lt;0,$O27*(1+(-W$22*0.232)),$O27/(1+(W$22*0.232)))))))</f>
        <v>#N/A</v>
      </c>
      <c r="X27" s="1138" t="e">
        <f>IF(X$21=0,0,IF('Regulação de polinização'!N115&gt;0,'Regulação de polinização'!N115,TRUNC(IF(X$22=0,$O27,IF(X$22&lt;0,$O27*(1+(-X$22*0.232)),$O27/(1+(X$22*0.232)))))))</f>
        <v>#N/A</v>
      </c>
      <c r="Y27" s="1138" t="e">
        <f>IF(Y$21=0,0,IF('Regulação de polinização'!O115&gt;0,'Regulação de polinização'!O115,TRUNC(IF(Y$22=0,$O27,IF(Y$22&lt;0,$O27*(1+(-Y$22*0.232)),$O27/(1+(Y$22*0.232)))))))</f>
        <v>#N/A</v>
      </c>
      <c r="Z27" s="1138" t="e">
        <f>IF(Z$21=0,0,IF('Regulação de polinização'!P115&gt;0,'Regulação de polinização'!P115,TRUNC(IF(Z$22=0,$O27,IF(Z$22&lt;0,$O27*(1+(-Z$22*0.232)),$O27/(1+(Z$22*0.232)))))))</f>
        <v>#N/A</v>
      </c>
      <c r="AA27" s="1127" t="e">
        <f>IF('Regulação de polinização'!Q115&gt;0,'Regulação de polinização'!Q115,VLOOKUP(N27,'Apoio Regulação de Polinização'!$AD$20:$AH$81,4,FALSE))</f>
        <v>#N/A</v>
      </c>
      <c r="AB27" s="769"/>
      <c r="AC27" s="769"/>
      <c r="AD27" s="775" t="s">
        <v>768</v>
      </c>
      <c r="AE27" s="776" t="s">
        <v>762</v>
      </c>
      <c r="AF27" s="777">
        <v>3.6</v>
      </c>
      <c r="AG27" s="778">
        <v>3.2</v>
      </c>
      <c r="AH27" s="776">
        <v>1</v>
      </c>
      <c r="AI27" s="770"/>
      <c r="AJ27" s="770"/>
    </row>
    <row r="28" spans="2:36">
      <c r="B28" s="764" t="s">
        <v>769</v>
      </c>
      <c r="C28" s="779" t="s">
        <v>770</v>
      </c>
      <c r="D28" s="766">
        <v>0.31</v>
      </c>
      <c r="E28" s="767" t="s">
        <v>655</v>
      </c>
      <c r="F28" s="767">
        <v>2</v>
      </c>
      <c r="G28" s="768">
        <f t="shared" si="1"/>
        <v>100000</v>
      </c>
      <c r="H28" s="767">
        <v>5</v>
      </c>
      <c r="I28" s="767" t="s">
        <v>655</v>
      </c>
      <c r="J28" s="767" t="s">
        <v>655</v>
      </c>
      <c r="K28" s="218"/>
      <c r="N28" s="1121">
        <f>'Regulação de polinização'!C116</f>
        <v>0</v>
      </c>
      <c r="O28" s="1138">
        <f>'Regulação de polinização'!E116</f>
        <v>0</v>
      </c>
      <c r="P28" s="1138" t="e">
        <f>IF(P$21=0,0,IF('Regulação de polinização'!F116&gt;0,'Regulação de polinização'!F116,TRUNC(IF(P$22=0,$O28,IF(P$22&lt;0,$O28*(1+(-P$22*0.232)),$O28/(1+(P$22*0.232)))))))</f>
        <v>#N/A</v>
      </c>
      <c r="Q28" s="1138" t="e">
        <f>IF(Q$21=0,0,IF('Regulação de polinização'!G116&gt;0,'Regulação de polinização'!G116,TRUNC(IF(Q$22=0,$O28,IF(Q$22&lt;0,$O28*(1+(-Q$22*0.232)),$O28/(1+(Q$22*0.232)))))))</f>
        <v>#N/A</v>
      </c>
      <c r="R28" s="1138" t="e">
        <f>IF(R$21=0,0,IF('Regulação de polinização'!H116&gt;0,'Regulação de polinização'!H116,TRUNC(IF(R$22=0,$O28,IF(R$22&lt;0,$O28*(1+(-R$22*0.232)),$O28/(1+(R$22*0.232)))))))</f>
        <v>#N/A</v>
      </c>
      <c r="S28" s="1138" t="e">
        <f>IF(S$21=0,0,IF('Regulação de polinização'!I116&gt;0,'Regulação de polinização'!I116,TRUNC(IF(S$22=0,$O28,IF(S$22&lt;0,$O28*(1+(-S$22*0.232)),$O28/(1+(S$22*0.232)))))))</f>
        <v>#N/A</v>
      </c>
      <c r="T28" s="1138" t="e">
        <f>IF(T$21=0,0,IF('Regulação de polinização'!J116&gt;0,'Regulação de polinização'!J116,TRUNC(IF(T$22=0,$O28,IF(T$22&lt;0,$O28*(1+(-T$22*0.232)),$O28/(1+(T$22*0.232)))))))</f>
        <v>#N/A</v>
      </c>
      <c r="U28" s="1138" t="e">
        <f>IF(U$21=0,0,IF('Regulação de polinização'!K116&gt;0,'Regulação de polinização'!K116,TRUNC(IF(U$22=0,$O28,IF(U$22&lt;0,$O28*(1+(-U$22*0.232)),$O28/(1+(U$22*0.232)))))))</f>
        <v>#N/A</v>
      </c>
      <c r="V28" s="1138" t="e">
        <f>IF(V$21=0,0,IF('Regulação de polinização'!L116&gt;0,'Regulação de polinização'!L116,TRUNC(IF(V$22=0,$O28,IF(V$22&lt;0,$O28*(1+(-V$22*0.232)),$O28/(1+(V$22*0.232)))))))</f>
        <v>#N/A</v>
      </c>
      <c r="W28" s="1138" t="e">
        <f>IF(W$21=0,0,IF('Regulação de polinização'!M116&gt;0,'Regulação de polinização'!M116,TRUNC(IF(W$22=0,$O28,IF(W$22&lt;0,$O28*(1+(-W$22*0.232)),$O28/(1+(W$22*0.232)))))))</f>
        <v>#N/A</v>
      </c>
      <c r="X28" s="1138" t="e">
        <f>IF(X$21=0,0,IF('Regulação de polinização'!N116&gt;0,'Regulação de polinização'!N116,TRUNC(IF(X$22=0,$O28,IF(X$22&lt;0,$O28*(1+(-X$22*0.232)),$O28/(1+(X$22*0.232)))))))</f>
        <v>#N/A</v>
      </c>
      <c r="Y28" s="1138" t="e">
        <f>IF(Y$21=0,0,IF('Regulação de polinização'!O116&gt;0,'Regulação de polinização'!O116,TRUNC(IF(Y$22=0,$O28,IF(Y$22&lt;0,$O28*(1+(-Y$22*0.232)),$O28/(1+(Y$22*0.232)))))))</f>
        <v>#N/A</v>
      </c>
      <c r="Z28" s="1138" t="e">
        <f>IF(Z$21=0,0,IF('Regulação de polinização'!P116&gt;0,'Regulação de polinização'!P116,TRUNC(IF(Z$22=0,$O28,IF(Z$22&lt;0,$O28*(1+(-Z$22*0.232)),$O28/(1+(Z$22*0.232)))))))</f>
        <v>#N/A</v>
      </c>
      <c r="AA28" s="1127" t="e">
        <f>IF('Regulação de polinização'!Q116&gt;0,'Regulação de polinização'!Q116,VLOOKUP(N28,'Apoio Regulação de Polinização'!$AD$20:$AH$81,4,FALSE))</f>
        <v>#N/A</v>
      </c>
      <c r="AB28" s="769"/>
      <c r="AC28" s="769"/>
      <c r="AD28" s="781" t="s">
        <v>771</v>
      </c>
      <c r="AE28" s="776" t="s">
        <v>762</v>
      </c>
      <c r="AF28" s="777">
        <v>2.7</v>
      </c>
      <c r="AG28" s="778">
        <v>0.8</v>
      </c>
      <c r="AH28" s="782">
        <v>1</v>
      </c>
      <c r="AI28" s="770"/>
      <c r="AJ28" s="770"/>
    </row>
    <row r="29" spans="2:36">
      <c r="B29" s="764" t="s">
        <v>772</v>
      </c>
      <c r="C29" s="779" t="s">
        <v>770</v>
      </c>
      <c r="D29" s="766">
        <v>0.31</v>
      </c>
      <c r="E29" s="767" t="s">
        <v>655</v>
      </c>
      <c r="F29" s="767">
        <v>2</v>
      </c>
      <c r="G29" s="768">
        <f t="shared" si="1"/>
        <v>100000</v>
      </c>
      <c r="H29" s="767">
        <v>5</v>
      </c>
      <c r="I29" s="767" t="s">
        <v>655</v>
      </c>
      <c r="J29" s="767" t="s">
        <v>655</v>
      </c>
      <c r="K29" s="218"/>
      <c r="N29" s="1121">
        <f>'Regulação de polinização'!C117</f>
        <v>0</v>
      </c>
      <c r="O29" s="1138">
        <f>'Regulação de polinização'!E117</f>
        <v>0</v>
      </c>
      <c r="P29" s="1138" t="e">
        <f>IF(P$21=0,0,IF('Regulação de polinização'!F117&gt;0,'Regulação de polinização'!F117,TRUNC(IF(P$22=0,$O29,IF(P$22&lt;0,$O29*(1+(-P$22*0.232)),$O29/(1+(P$22*0.232)))))))</f>
        <v>#N/A</v>
      </c>
      <c r="Q29" s="1138" t="e">
        <f>IF(Q$21=0,0,IF('Regulação de polinização'!G117&gt;0,'Regulação de polinização'!G117,TRUNC(IF(Q$22=0,$O29,IF(Q$22&lt;0,$O29*(1+(-Q$22*0.232)),$O29/(1+(Q$22*0.232)))))))</f>
        <v>#N/A</v>
      </c>
      <c r="R29" s="1138" t="e">
        <f>IF(R$21=0,0,IF('Regulação de polinização'!H117&gt;0,'Regulação de polinização'!H117,TRUNC(IF(R$22=0,$O29,IF(R$22&lt;0,$O29*(1+(-R$22*0.232)),$O29/(1+(R$22*0.232)))))))</f>
        <v>#N/A</v>
      </c>
      <c r="S29" s="1138" t="e">
        <f>IF(S$21=0,0,IF('Regulação de polinização'!I117&gt;0,'Regulação de polinização'!I117,TRUNC(IF(S$22=0,$O29,IF(S$22&lt;0,$O29*(1+(-S$22*0.232)),$O29/(1+(S$22*0.232)))))))</f>
        <v>#N/A</v>
      </c>
      <c r="T29" s="1138" t="e">
        <f>IF(T$21=0,0,IF('Regulação de polinização'!J117&gt;0,'Regulação de polinização'!J117,TRUNC(IF(T$22=0,$O29,IF(T$22&lt;0,$O29*(1+(-T$22*0.232)),$O29/(1+(T$22*0.232)))))))</f>
        <v>#N/A</v>
      </c>
      <c r="U29" s="1138" t="e">
        <f>IF(U$21=0,0,IF('Regulação de polinização'!K117&gt;0,'Regulação de polinização'!K117,TRUNC(IF(U$22=0,$O29,IF(U$22&lt;0,$O29*(1+(-U$22*0.232)),$O29/(1+(U$22*0.232)))))))</f>
        <v>#N/A</v>
      </c>
      <c r="V29" s="1138" t="e">
        <f>IF(V$21=0,0,IF('Regulação de polinização'!L117&gt;0,'Regulação de polinização'!L117,TRUNC(IF(V$22=0,$O29,IF(V$22&lt;0,$O29*(1+(-V$22*0.232)),$O29/(1+(V$22*0.232)))))))</f>
        <v>#N/A</v>
      </c>
      <c r="W29" s="1138" t="e">
        <f>IF(W$21=0,0,IF('Regulação de polinização'!M117&gt;0,'Regulação de polinização'!M117,TRUNC(IF(W$22=0,$O29,IF(W$22&lt;0,$O29*(1+(-W$22*0.232)),$O29/(1+(W$22*0.232)))))))</f>
        <v>#N/A</v>
      </c>
      <c r="X29" s="1138" t="e">
        <f>IF(X$21=0,0,IF('Regulação de polinização'!N117&gt;0,'Regulação de polinização'!N117,TRUNC(IF(X$22=0,$O29,IF(X$22&lt;0,$O29*(1+(-X$22*0.232)),$O29/(1+(X$22*0.232)))))))</f>
        <v>#N/A</v>
      </c>
      <c r="Y29" s="1138" t="e">
        <f>IF(Y$21=0,0,IF('Regulação de polinização'!O117&gt;0,'Regulação de polinização'!O117,TRUNC(IF(Y$22=0,$O29,IF(Y$22&lt;0,$O29*(1+(-Y$22*0.232)),$O29/(1+(Y$22*0.232)))))))</f>
        <v>#N/A</v>
      </c>
      <c r="Z29" s="1138" t="e">
        <f>IF(Z$21=0,0,IF('Regulação de polinização'!P117&gt;0,'Regulação de polinização'!P117,TRUNC(IF(Z$22=0,$O29,IF(Z$22&lt;0,$O29*(1+(-Z$22*0.232)),$O29/(1+(Z$22*0.232)))))))</f>
        <v>#N/A</v>
      </c>
      <c r="AA29" s="1127" t="e">
        <f>IF('Regulação de polinização'!Q117&gt;0,'Regulação de polinização'!Q117,VLOOKUP(N29,'Apoio Regulação de Polinização'!$AD$20:$AH$81,4,FALSE))</f>
        <v>#N/A</v>
      </c>
      <c r="AB29" s="769"/>
      <c r="AC29" s="769"/>
      <c r="AD29" s="781" t="s">
        <v>773</v>
      </c>
      <c r="AE29" s="776" t="s">
        <v>762</v>
      </c>
      <c r="AF29" s="777">
        <v>2.7</v>
      </c>
      <c r="AG29" s="778">
        <v>1</v>
      </c>
      <c r="AH29" s="782">
        <v>1</v>
      </c>
      <c r="AI29" s="770"/>
      <c r="AJ29" s="770"/>
    </row>
    <row r="30" spans="2:36">
      <c r="B30" s="764" t="s">
        <v>774</v>
      </c>
      <c r="C30" s="779" t="s">
        <v>770</v>
      </c>
      <c r="D30" s="766">
        <v>0.31</v>
      </c>
      <c r="E30" s="767">
        <v>7</v>
      </c>
      <c r="F30" s="767">
        <v>2</v>
      </c>
      <c r="G30" s="768">
        <f t="shared" si="1"/>
        <v>100000</v>
      </c>
      <c r="H30" s="767">
        <v>7</v>
      </c>
      <c r="I30" s="767" t="s">
        <v>655</v>
      </c>
      <c r="J30" s="767" t="s">
        <v>655</v>
      </c>
      <c r="K30" s="218"/>
      <c r="N30" s="1121">
        <f>'Regulação de polinização'!C118</f>
        <v>0</v>
      </c>
      <c r="O30" s="1138">
        <f>'Regulação de polinização'!E118</f>
        <v>0</v>
      </c>
      <c r="P30" s="1138" t="e">
        <f>IF(P$21=0,0,IF('Regulação de polinização'!F118&gt;0,'Regulação de polinização'!F118,TRUNC(IF(P$22=0,$O30,IF(P$22&lt;0,$O30*(1+(-P$22*0.232)),$O30/(1+(P$22*0.232)))))))</f>
        <v>#N/A</v>
      </c>
      <c r="Q30" s="1138" t="e">
        <f>IF(Q$21=0,0,IF('Regulação de polinização'!G118&gt;0,'Regulação de polinização'!G118,TRUNC(IF(Q$22=0,$O30,IF(Q$22&lt;0,$O30*(1+(-Q$22*0.232)),$O30/(1+(Q$22*0.232)))))))</f>
        <v>#N/A</v>
      </c>
      <c r="R30" s="1138" t="e">
        <f>IF(R$21=0,0,IF('Regulação de polinização'!H118&gt;0,'Regulação de polinização'!H118,TRUNC(IF(R$22=0,$O30,IF(R$22&lt;0,$O30*(1+(-R$22*0.232)),$O30/(1+(R$22*0.232)))))))</f>
        <v>#N/A</v>
      </c>
      <c r="S30" s="1138" t="e">
        <f>IF(S$21=0,0,IF('Regulação de polinização'!I118&gt;0,'Regulação de polinização'!I118,TRUNC(IF(S$22=0,$O30,IF(S$22&lt;0,$O30*(1+(-S$22*0.232)),$O30/(1+(S$22*0.232)))))))</f>
        <v>#N/A</v>
      </c>
      <c r="T30" s="1138" t="e">
        <f>IF(T$21=0,0,IF('Regulação de polinização'!J118&gt;0,'Regulação de polinização'!J118,TRUNC(IF(T$22=0,$O30,IF(T$22&lt;0,$O30*(1+(-T$22*0.232)),$O30/(1+(T$22*0.232)))))))</f>
        <v>#N/A</v>
      </c>
      <c r="U30" s="1138" t="e">
        <f>IF(U$21=0,0,IF('Regulação de polinização'!K118&gt;0,'Regulação de polinização'!K118,TRUNC(IF(U$22=0,$O30,IF(U$22&lt;0,$O30*(1+(-U$22*0.232)),$O30/(1+(U$22*0.232)))))))</f>
        <v>#N/A</v>
      </c>
      <c r="V30" s="1138" t="e">
        <f>IF(V$21=0,0,IF('Regulação de polinização'!L118&gt;0,'Regulação de polinização'!L118,TRUNC(IF(V$22=0,$O30,IF(V$22&lt;0,$O30*(1+(-V$22*0.232)),$O30/(1+(V$22*0.232)))))))</f>
        <v>#N/A</v>
      </c>
      <c r="W30" s="1138" t="e">
        <f>IF(W$21=0,0,IF('Regulação de polinização'!M118&gt;0,'Regulação de polinização'!M118,TRUNC(IF(W$22=0,$O30,IF(W$22&lt;0,$O30*(1+(-W$22*0.232)),$O30/(1+(W$22*0.232)))))))</f>
        <v>#N/A</v>
      </c>
      <c r="X30" s="1138" t="e">
        <f>IF(X$21=0,0,IF('Regulação de polinização'!N118&gt;0,'Regulação de polinização'!N118,TRUNC(IF(X$22=0,$O30,IF(X$22&lt;0,$O30*(1+(-X$22*0.232)),$O30/(1+(X$22*0.232)))))))</f>
        <v>#N/A</v>
      </c>
      <c r="Y30" s="1138" t="e">
        <f>IF(Y$21=0,0,IF('Regulação de polinização'!O118&gt;0,'Regulação de polinização'!O118,TRUNC(IF(Y$22=0,$O30,IF(Y$22&lt;0,$O30*(1+(-Y$22*0.232)),$O30/(1+(Y$22*0.232)))))))</f>
        <v>#N/A</v>
      </c>
      <c r="Z30" s="1138" t="e">
        <f>IF(Z$21=0,0,IF('Regulação de polinização'!P118&gt;0,'Regulação de polinização'!P118,TRUNC(IF(Z$22=0,$O30,IF(Z$22&lt;0,$O30*(1+(-Z$22*0.232)),$O30/(1+(Z$22*0.232)))))))</f>
        <v>#N/A</v>
      </c>
      <c r="AA30" s="1127" t="e">
        <f>IF('Regulação de polinização'!Q118&gt;0,'Regulação de polinização'!Q118,VLOOKUP(N30,'Apoio Regulação de Polinização'!$AD$20:$AH$81,4,FALSE))</f>
        <v>#N/A</v>
      </c>
      <c r="AB30" s="769"/>
      <c r="AC30" s="769"/>
      <c r="AD30" s="775" t="s">
        <v>775</v>
      </c>
      <c r="AE30" s="776" t="s">
        <v>762</v>
      </c>
      <c r="AF30" s="777">
        <v>1.8</v>
      </c>
      <c r="AG30" s="778">
        <v>0.3</v>
      </c>
      <c r="AH30" s="776">
        <v>1</v>
      </c>
      <c r="AI30" s="770"/>
      <c r="AJ30" s="770"/>
    </row>
    <row r="31" spans="2:36">
      <c r="B31" s="764" t="s">
        <v>776</v>
      </c>
      <c r="C31" s="779" t="s">
        <v>770</v>
      </c>
      <c r="D31" s="766">
        <v>0.31</v>
      </c>
      <c r="E31" s="767">
        <v>7</v>
      </c>
      <c r="F31" s="767">
        <v>2</v>
      </c>
      <c r="G31" s="768">
        <f t="shared" si="1"/>
        <v>100000</v>
      </c>
      <c r="H31" s="767">
        <v>7</v>
      </c>
      <c r="I31" s="767" t="s">
        <v>655</v>
      </c>
      <c r="J31" s="767" t="s">
        <v>655</v>
      </c>
      <c r="K31" s="218"/>
      <c r="N31" s="1121">
        <f>'Regulação de polinização'!C119</f>
        <v>0</v>
      </c>
      <c r="O31" s="1138">
        <f>'Regulação de polinização'!E119</f>
        <v>0</v>
      </c>
      <c r="P31" s="1138" t="e">
        <f>IF(P$21=0,0,IF('Regulação de polinização'!F119&gt;0,'Regulação de polinização'!F119,TRUNC(IF(P$22=0,$O31,IF(P$22&lt;0,$O31*(1+(-P$22*0.232)),$O31/(1+(P$22*0.232)))))))</f>
        <v>#N/A</v>
      </c>
      <c r="Q31" s="1138" t="e">
        <f>IF(Q$21=0,0,IF('Regulação de polinização'!G119&gt;0,'Regulação de polinização'!G119,TRUNC(IF(Q$22=0,$O31,IF(Q$22&lt;0,$O31*(1+(-Q$22*0.232)),$O31/(1+(Q$22*0.232)))))))</f>
        <v>#N/A</v>
      </c>
      <c r="R31" s="1138" t="e">
        <f>IF(R$21=0,0,IF('Regulação de polinização'!H119&gt;0,'Regulação de polinização'!H119,TRUNC(IF(R$22=0,$O31,IF(R$22&lt;0,$O31*(1+(-R$22*0.232)),$O31/(1+(R$22*0.232)))))))</f>
        <v>#N/A</v>
      </c>
      <c r="S31" s="1138" t="e">
        <f>IF(S$21=0,0,IF('Regulação de polinização'!I119&gt;0,'Regulação de polinização'!I119,TRUNC(IF(S$22=0,$O31,IF(S$22&lt;0,$O31*(1+(-S$22*0.232)),$O31/(1+(S$22*0.232)))))))</f>
        <v>#N/A</v>
      </c>
      <c r="T31" s="1138" t="e">
        <f>IF(T$21=0,0,IF('Regulação de polinização'!J119&gt;0,'Regulação de polinização'!J119,TRUNC(IF(T$22=0,$O31,IF(T$22&lt;0,$O31*(1+(-T$22*0.232)),$O31/(1+(T$22*0.232)))))))</f>
        <v>#N/A</v>
      </c>
      <c r="U31" s="1138" t="e">
        <f>IF(U$21=0,0,IF('Regulação de polinização'!K119&gt;0,'Regulação de polinização'!K119,TRUNC(IF(U$22=0,$O31,IF(U$22&lt;0,$O31*(1+(-U$22*0.232)),$O31/(1+(U$22*0.232)))))))</f>
        <v>#N/A</v>
      </c>
      <c r="V31" s="1138" t="e">
        <f>IF(V$21=0,0,IF('Regulação de polinização'!L119&gt;0,'Regulação de polinização'!L119,TRUNC(IF(V$22=0,$O31,IF(V$22&lt;0,$O31*(1+(-V$22*0.232)),$O31/(1+(V$22*0.232)))))))</f>
        <v>#N/A</v>
      </c>
      <c r="W31" s="1138" t="e">
        <f>IF(W$21=0,0,IF('Regulação de polinização'!M119&gt;0,'Regulação de polinização'!M119,TRUNC(IF(W$22=0,$O31,IF(W$22&lt;0,$O31*(1+(-W$22*0.232)),$O31/(1+(W$22*0.232)))))))</f>
        <v>#N/A</v>
      </c>
      <c r="X31" s="1138" t="e">
        <f>IF(X$21=0,0,IF('Regulação de polinização'!N119&gt;0,'Regulação de polinização'!N119,TRUNC(IF(X$22=0,$O31,IF(X$22&lt;0,$O31*(1+(-X$22*0.232)),$O31/(1+(X$22*0.232)))))))</f>
        <v>#N/A</v>
      </c>
      <c r="Y31" s="1138" t="e">
        <f>IF(Y$21=0,0,IF('Regulação de polinização'!O119&gt;0,'Regulação de polinização'!O119,TRUNC(IF(Y$22=0,$O31,IF(Y$22&lt;0,$O31*(1+(-Y$22*0.232)),$O31/(1+(Y$22*0.232)))))))</f>
        <v>#N/A</v>
      </c>
      <c r="Z31" s="1138" t="e">
        <f>IF(Z$21=0,0,IF('Regulação de polinização'!P119&gt;0,'Regulação de polinização'!P119,TRUNC(IF(Z$22=0,$O31,IF(Z$22&lt;0,$O31*(1+(-Z$22*0.232)),$O31/(1+(Z$22*0.232)))))))</f>
        <v>#N/A</v>
      </c>
      <c r="AA31" s="1127" t="e">
        <f>IF('Regulação de polinização'!Q119&gt;0,'Regulação de polinização'!Q119,VLOOKUP(N31,'Apoio Regulação de Polinização'!$AD$20:$AH$81,4,FALSE))</f>
        <v>#N/A</v>
      </c>
      <c r="AB31" s="769"/>
      <c r="AC31" s="769"/>
      <c r="AD31" s="775" t="s">
        <v>699</v>
      </c>
      <c r="AE31" s="776" t="s">
        <v>762</v>
      </c>
      <c r="AF31" s="777">
        <v>3.3</v>
      </c>
      <c r="AG31" s="778">
        <v>5.9</v>
      </c>
      <c r="AH31" s="776">
        <v>2</v>
      </c>
      <c r="AI31" s="770"/>
      <c r="AJ31" s="770"/>
    </row>
    <row r="32" spans="2:36">
      <c r="B32" s="764" t="s">
        <v>777</v>
      </c>
      <c r="C32" s="779" t="s">
        <v>770</v>
      </c>
      <c r="D32" s="766">
        <v>0.31</v>
      </c>
      <c r="E32" s="767">
        <v>7</v>
      </c>
      <c r="F32" s="767">
        <v>2</v>
      </c>
      <c r="G32" s="768">
        <f t="shared" si="1"/>
        <v>100000</v>
      </c>
      <c r="H32" s="767">
        <v>7</v>
      </c>
      <c r="I32" s="767" t="s">
        <v>655</v>
      </c>
      <c r="J32" s="767" t="s">
        <v>655</v>
      </c>
      <c r="K32" s="218"/>
      <c r="N32" s="1121">
        <f>'Regulação de polinização'!C120</f>
        <v>0</v>
      </c>
      <c r="O32" s="1138">
        <f>'Regulação de polinização'!E120</f>
        <v>0</v>
      </c>
      <c r="P32" s="1138" t="e">
        <f>IF(P$21=0,0,IF('Regulação de polinização'!F120&gt;0,'Regulação de polinização'!F120,TRUNC(IF(P$22=0,$O32,IF(P$22&lt;0,$O32*(1+(-P$22*0.232)),$O32/(1+(P$22*0.232)))))))</f>
        <v>#N/A</v>
      </c>
      <c r="Q32" s="1138" t="e">
        <f>IF(Q$21=0,0,IF('Regulação de polinização'!G120&gt;0,'Regulação de polinização'!G120,TRUNC(IF(Q$22=0,$O32,IF(Q$22&lt;0,$O32*(1+(-Q$22*0.232)),$O32/(1+(Q$22*0.232)))))))</f>
        <v>#N/A</v>
      </c>
      <c r="R32" s="1138" t="e">
        <f>IF(R$21=0,0,IF('Regulação de polinização'!H120&gt;0,'Regulação de polinização'!H120,TRUNC(IF(R$22=0,$O32,IF(R$22&lt;0,$O32*(1+(-R$22*0.232)),$O32/(1+(R$22*0.232)))))))</f>
        <v>#N/A</v>
      </c>
      <c r="S32" s="1138" t="e">
        <f>IF(S$21=0,0,IF('Regulação de polinização'!I120&gt;0,'Regulação de polinização'!I120,TRUNC(IF(S$22=0,$O32,IF(S$22&lt;0,$O32*(1+(-S$22*0.232)),$O32/(1+(S$22*0.232)))))))</f>
        <v>#N/A</v>
      </c>
      <c r="T32" s="1138" t="e">
        <f>IF(T$21=0,0,IF('Regulação de polinização'!J120&gt;0,'Regulação de polinização'!J120,TRUNC(IF(T$22=0,$O32,IF(T$22&lt;0,$O32*(1+(-T$22*0.232)),$O32/(1+(T$22*0.232)))))))</f>
        <v>#N/A</v>
      </c>
      <c r="U32" s="1138" t="e">
        <f>IF(U$21=0,0,IF('Regulação de polinização'!K120&gt;0,'Regulação de polinização'!K120,TRUNC(IF(U$22=0,$O32,IF(U$22&lt;0,$O32*(1+(-U$22*0.232)),$O32/(1+(U$22*0.232)))))))</f>
        <v>#N/A</v>
      </c>
      <c r="V32" s="1138" t="e">
        <f>IF(V$21=0,0,IF('Regulação de polinização'!L120&gt;0,'Regulação de polinização'!L120,TRUNC(IF(V$22=0,$O32,IF(V$22&lt;0,$O32*(1+(-V$22*0.232)),$O32/(1+(V$22*0.232)))))))</f>
        <v>#N/A</v>
      </c>
      <c r="W32" s="1138" t="e">
        <f>IF(W$21=0,0,IF('Regulação de polinização'!M120&gt;0,'Regulação de polinização'!M120,TRUNC(IF(W$22=0,$O32,IF(W$22&lt;0,$O32*(1+(-W$22*0.232)),$O32/(1+(W$22*0.232)))))))</f>
        <v>#N/A</v>
      </c>
      <c r="X32" s="1138" t="e">
        <f>IF(X$21=0,0,IF('Regulação de polinização'!N120&gt;0,'Regulação de polinização'!N120,TRUNC(IF(X$22=0,$O32,IF(X$22&lt;0,$O32*(1+(-X$22*0.232)),$O32/(1+(X$22*0.232)))))))</f>
        <v>#N/A</v>
      </c>
      <c r="Y32" s="1138" t="e">
        <f>IF(Y$21=0,0,IF('Regulação de polinização'!O120&gt;0,'Regulação de polinização'!O120,TRUNC(IF(Y$22=0,$O32,IF(Y$22&lt;0,$O32*(1+(-Y$22*0.232)),$O32/(1+(Y$22*0.232)))))))</f>
        <v>#N/A</v>
      </c>
      <c r="Z32" s="1138" t="e">
        <f>IF(Z$21=0,0,IF('Regulação de polinização'!P120&gt;0,'Regulação de polinização'!P120,TRUNC(IF(Z$22=0,$O32,IF(Z$22&lt;0,$O32*(1+(-Z$22*0.232)),$O32/(1+(Z$22*0.232)))))))</f>
        <v>#N/A</v>
      </c>
      <c r="AA32" s="1127" t="e">
        <f>IF('Regulação de polinização'!Q120&gt;0,'Regulação de polinização'!Q120,VLOOKUP(N32,'Apoio Regulação de Polinização'!$AD$20:$AH$81,4,FALSE))</f>
        <v>#N/A</v>
      </c>
      <c r="AB32" s="769"/>
      <c r="AC32" s="769"/>
      <c r="AD32" s="775" t="s">
        <v>778</v>
      </c>
      <c r="AE32" s="776" t="s">
        <v>762</v>
      </c>
      <c r="AF32" s="777">
        <v>4.0999999999999996</v>
      </c>
      <c r="AG32" s="778">
        <v>4.8</v>
      </c>
      <c r="AH32" s="776">
        <v>1</v>
      </c>
      <c r="AI32" s="770"/>
      <c r="AJ32" s="770"/>
    </row>
    <row r="33" spans="2:36">
      <c r="B33" s="764" t="s">
        <v>779</v>
      </c>
      <c r="C33" s="765" t="s">
        <v>780</v>
      </c>
      <c r="D33" s="766">
        <v>0.45</v>
      </c>
      <c r="E33" s="767">
        <v>7</v>
      </c>
      <c r="F33" s="767">
        <v>8</v>
      </c>
      <c r="G33" s="768">
        <f t="shared" si="1"/>
        <v>400000</v>
      </c>
      <c r="H33" s="767">
        <v>5</v>
      </c>
      <c r="I33" s="767" t="s">
        <v>655</v>
      </c>
      <c r="J33" s="767" t="s">
        <v>655</v>
      </c>
      <c r="K33" s="218"/>
      <c r="N33" s="1121">
        <f>'Regulação de polinização'!C121</f>
        <v>0</v>
      </c>
      <c r="O33" s="1138">
        <f>'Regulação de polinização'!E121</f>
        <v>0</v>
      </c>
      <c r="P33" s="1138" t="e">
        <f>IF(P$21=0,0,IF('Regulação de polinização'!F121&gt;0,'Regulação de polinização'!F121,TRUNC(IF(P$22=0,$O33,IF(P$22&lt;0,$O33*(1+(-P$22*0.232)),$O33/(1+(P$22*0.232)))))))</f>
        <v>#N/A</v>
      </c>
      <c r="Q33" s="1138" t="e">
        <f>IF(Q$21=0,0,IF('Regulação de polinização'!G121&gt;0,'Regulação de polinização'!G121,TRUNC(IF(Q$22=0,$O33,IF(Q$22&lt;0,$O33*(1+(-Q$22*0.232)),$O33/(1+(Q$22*0.232)))))))</f>
        <v>#N/A</v>
      </c>
      <c r="R33" s="1138" t="e">
        <f>IF(R$21=0,0,IF('Regulação de polinização'!H121&gt;0,'Regulação de polinização'!H121,TRUNC(IF(R$22=0,$O33,IF(R$22&lt;0,$O33*(1+(-R$22*0.232)),$O33/(1+(R$22*0.232)))))))</f>
        <v>#N/A</v>
      </c>
      <c r="S33" s="1138" t="e">
        <f>IF(S$21=0,0,IF('Regulação de polinização'!I121&gt;0,'Regulação de polinização'!I121,TRUNC(IF(S$22=0,$O33,IF(S$22&lt;0,$O33*(1+(-S$22*0.232)),$O33/(1+(S$22*0.232)))))))</f>
        <v>#N/A</v>
      </c>
      <c r="T33" s="1138" t="e">
        <f>IF(T$21=0,0,IF('Regulação de polinização'!J121&gt;0,'Regulação de polinização'!J121,TRUNC(IF(T$22=0,$O33,IF(T$22&lt;0,$O33*(1+(-T$22*0.232)),$O33/(1+(T$22*0.232)))))))</f>
        <v>#N/A</v>
      </c>
      <c r="U33" s="1138" t="e">
        <f>IF(U$21=0,0,IF('Regulação de polinização'!K121&gt;0,'Regulação de polinização'!K121,TRUNC(IF(U$22=0,$O33,IF(U$22&lt;0,$O33*(1+(-U$22*0.232)),$O33/(1+(U$22*0.232)))))))</f>
        <v>#N/A</v>
      </c>
      <c r="V33" s="1138" t="e">
        <f>IF(V$21=0,0,IF('Regulação de polinização'!L121&gt;0,'Regulação de polinização'!L121,TRUNC(IF(V$22=0,$O33,IF(V$22&lt;0,$O33*(1+(-V$22*0.232)),$O33/(1+(V$22*0.232)))))))</f>
        <v>#N/A</v>
      </c>
      <c r="W33" s="1138" t="e">
        <f>IF(W$21=0,0,IF('Regulação de polinização'!M121&gt;0,'Regulação de polinização'!M121,TRUNC(IF(W$22=0,$O33,IF(W$22&lt;0,$O33*(1+(-W$22*0.232)),$O33/(1+(W$22*0.232)))))))</f>
        <v>#N/A</v>
      </c>
      <c r="X33" s="1138" t="e">
        <f>IF(X$21=0,0,IF('Regulação de polinização'!N121&gt;0,'Regulação de polinização'!N121,TRUNC(IF(X$22=0,$O33,IF(X$22&lt;0,$O33*(1+(-X$22*0.232)),$O33/(1+(X$22*0.232)))))))</f>
        <v>#N/A</v>
      </c>
      <c r="Y33" s="1138" t="e">
        <f>IF(Y$21=0,0,IF('Regulação de polinização'!O121&gt;0,'Regulação de polinização'!O121,TRUNC(IF(Y$22=0,$O33,IF(Y$22&lt;0,$O33*(1+(-Y$22*0.232)),$O33/(1+(Y$22*0.232)))))))</f>
        <v>#N/A</v>
      </c>
      <c r="Z33" s="1138" t="e">
        <f>IF(Z$21=0,0,IF('Regulação de polinização'!P121&gt;0,'Regulação de polinização'!P121,TRUNC(IF(Z$22=0,$O33,IF(Z$22&lt;0,$O33*(1+(-Z$22*0.232)),$O33/(1+(Z$22*0.232)))))))</f>
        <v>#N/A</v>
      </c>
      <c r="AA33" s="1127" t="e">
        <f>IF('Regulação de polinização'!Q121&gt;0,'Regulação de polinização'!Q121,VLOOKUP(N33,'Apoio Regulação de Polinização'!$AD$20:$AH$81,4,FALSE))</f>
        <v>#N/A</v>
      </c>
      <c r="AB33" s="769"/>
      <c r="AC33" s="769"/>
      <c r="AD33" s="775" t="s">
        <v>781</v>
      </c>
      <c r="AE33" s="776" t="s">
        <v>762</v>
      </c>
      <c r="AF33" s="777">
        <v>3.6</v>
      </c>
      <c r="AG33" s="778">
        <v>3.4</v>
      </c>
      <c r="AH33" s="776">
        <v>1</v>
      </c>
      <c r="AI33" s="770"/>
      <c r="AJ33" s="770"/>
    </row>
    <row r="34" spans="2:36">
      <c r="B34" s="764" t="s">
        <v>782</v>
      </c>
      <c r="C34" s="765" t="s">
        <v>783</v>
      </c>
      <c r="D34" s="767" t="s">
        <v>655</v>
      </c>
      <c r="E34" s="767" t="s">
        <v>655</v>
      </c>
      <c r="F34" s="767">
        <v>7</v>
      </c>
      <c r="G34" s="768">
        <f t="shared" si="1"/>
        <v>350000</v>
      </c>
      <c r="H34" s="767">
        <v>5</v>
      </c>
      <c r="I34" s="767" t="s">
        <v>655</v>
      </c>
      <c r="J34" s="767" t="s">
        <v>655</v>
      </c>
      <c r="K34" s="218"/>
      <c r="N34" s="1121">
        <f>'Regulação de polinização'!C122</f>
        <v>0</v>
      </c>
      <c r="O34" s="1138">
        <f>'Regulação de polinização'!E122</f>
        <v>0</v>
      </c>
      <c r="P34" s="1138" t="e">
        <f>IF(P$21=0,0,IF('Regulação de polinização'!F122&gt;0,'Regulação de polinização'!F122,TRUNC(IF(P$22=0,$O34,IF(P$22&lt;0,$O34*(1+(-P$22*0.232)),$O34/(1+(P$22*0.232)))))))</f>
        <v>#N/A</v>
      </c>
      <c r="Q34" s="1138" t="e">
        <f>IF(Q$21=0,0,IF('Regulação de polinização'!G122&gt;0,'Regulação de polinização'!G122,TRUNC(IF(Q$22=0,$O34,IF(Q$22&lt;0,$O34*(1+(-Q$22*0.232)),$O34/(1+(Q$22*0.232)))))))</f>
        <v>#N/A</v>
      </c>
      <c r="R34" s="1138" t="e">
        <f>IF(R$21=0,0,IF('Regulação de polinização'!H122&gt;0,'Regulação de polinização'!H122,TRUNC(IF(R$22=0,$O34,IF(R$22&lt;0,$O34*(1+(-R$22*0.232)),$O34/(1+(R$22*0.232)))))))</f>
        <v>#N/A</v>
      </c>
      <c r="S34" s="1138" t="e">
        <f>IF(S$21=0,0,IF('Regulação de polinização'!I122&gt;0,'Regulação de polinização'!I122,TRUNC(IF(S$22=0,$O34,IF(S$22&lt;0,$O34*(1+(-S$22*0.232)),$O34/(1+(S$22*0.232)))))))</f>
        <v>#N/A</v>
      </c>
      <c r="T34" s="1138" t="e">
        <f>IF(T$21=0,0,IF('Regulação de polinização'!J122&gt;0,'Regulação de polinização'!J122,TRUNC(IF(T$22=0,$O34,IF(T$22&lt;0,$O34*(1+(-T$22*0.232)),$O34/(1+(T$22*0.232)))))))</f>
        <v>#N/A</v>
      </c>
      <c r="U34" s="1138" t="e">
        <f>IF(U$21=0,0,IF('Regulação de polinização'!K122&gt;0,'Regulação de polinização'!K122,TRUNC(IF(U$22=0,$O34,IF(U$22&lt;0,$O34*(1+(-U$22*0.232)),$O34/(1+(U$22*0.232)))))))</f>
        <v>#N/A</v>
      </c>
      <c r="V34" s="1138" t="e">
        <f>IF(V$21=0,0,IF('Regulação de polinização'!L122&gt;0,'Regulação de polinização'!L122,TRUNC(IF(V$22=0,$O34,IF(V$22&lt;0,$O34*(1+(-V$22*0.232)),$O34/(1+(V$22*0.232)))))))</f>
        <v>#N/A</v>
      </c>
      <c r="W34" s="1138" t="e">
        <f>IF(W$21=0,0,IF('Regulação de polinização'!M122&gt;0,'Regulação de polinização'!M122,TRUNC(IF(W$22=0,$O34,IF(W$22&lt;0,$O34*(1+(-W$22*0.232)),$O34/(1+(W$22*0.232)))))))</f>
        <v>#N/A</v>
      </c>
      <c r="X34" s="1138" t="e">
        <f>IF(X$21=0,0,IF('Regulação de polinização'!N122&gt;0,'Regulação de polinização'!N122,TRUNC(IF(X$22=0,$O34,IF(X$22&lt;0,$O34*(1+(-X$22*0.232)),$O34/(1+(X$22*0.232)))))))</f>
        <v>#N/A</v>
      </c>
      <c r="Y34" s="1138" t="e">
        <f>IF(Y$21=0,0,IF('Regulação de polinização'!O122&gt;0,'Regulação de polinização'!O122,TRUNC(IF(Y$22=0,$O34,IF(Y$22&lt;0,$O34*(1+(-Y$22*0.232)),$O34/(1+(Y$22*0.232)))))))</f>
        <v>#N/A</v>
      </c>
      <c r="Z34" s="1138" t="e">
        <f>IF(Z$21=0,0,IF('Regulação de polinização'!P122&gt;0,'Regulação de polinização'!P122,TRUNC(IF(Z$22=0,$O34,IF(Z$22&lt;0,$O34*(1+(-Z$22*0.232)),$O34/(1+(Z$22*0.232)))))))</f>
        <v>#N/A</v>
      </c>
      <c r="AA34" s="1127" t="e">
        <f>IF('Regulação de polinização'!Q122&gt;0,'Regulação de polinização'!Q122,VLOOKUP(N34,'Apoio Regulação de Polinização'!$AD$20:$AH$81,4,FALSE))</f>
        <v>#N/A</v>
      </c>
      <c r="AB34" s="769"/>
      <c r="AC34" s="769"/>
      <c r="AD34" s="775" t="s">
        <v>784</v>
      </c>
      <c r="AE34" s="776" t="s">
        <v>762</v>
      </c>
      <c r="AF34" s="777">
        <v>3.1</v>
      </c>
      <c r="AG34" s="778">
        <v>2</v>
      </c>
      <c r="AH34" s="776">
        <v>1</v>
      </c>
      <c r="AI34" s="770"/>
      <c r="AJ34" s="770"/>
    </row>
    <row r="35" spans="2:36">
      <c r="B35" s="764" t="s">
        <v>785</v>
      </c>
      <c r="C35" s="765" t="s">
        <v>786</v>
      </c>
      <c r="D35" s="766">
        <v>0.56000000000000005</v>
      </c>
      <c r="E35" s="767">
        <v>7</v>
      </c>
      <c r="F35" s="767">
        <v>3</v>
      </c>
      <c r="G35" s="768">
        <f t="shared" si="1"/>
        <v>150000</v>
      </c>
      <c r="H35" s="767">
        <v>5</v>
      </c>
      <c r="I35" s="767" t="s">
        <v>655</v>
      </c>
      <c r="J35" s="767" t="s">
        <v>655</v>
      </c>
      <c r="K35" s="218"/>
      <c r="N35" s="1121">
        <f>'Regulação de polinização'!C123</f>
        <v>0</v>
      </c>
      <c r="O35" s="1138">
        <f>'Regulação de polinização'!E123</f>
        <v>0</v>
      </c>
      <c r="P35" s="1138" t="e">
        <f>IF(P$21=0,0,IF('Regulação de polinização'!F123&gt;0,'Regulação de polinização'!F123,TRUNC(IF(P$22=0,$O35,IF(P$22&lt;0,$O35*(1+(-P$22*0.232)),$O35/(1+(P$22*0.232)))))))</f>
        <v>#N/A</v>
      </c>
      <c r="Q35" s="1138" t="e">
        <f>IF(Q$21=0,0,IF('Regulação de polinização'!G123&gt;0,'Regulação de polinização'!G123,TRUNC(IF(Q$22=0,$O35,IF(Q$22&lt;0,$O35*(1+(-Q$22*0.232)),$O35/(1+(Q$22*0.232)))))))</f>
        <v>#N/A</v>
      </c>
      <c r="R35" s="1138" t="e">
        <f>IF(R$21=0,0,IF('Regulação de polinização'!H123&gt;0,'Regulação de polinização'!H123,TRUNC(IF(R$22=0,$O35,IF(R$22&lt;0,$O35*(1+(-R$22*0.232)),$O35/(1+(R$22*0.232)))))))</f>
        <v>#N/A</v>
      </c>
      <c r="S35" s="1138" t="e">
        <f>IF(S$21=0,0,IF('Regulação de polinização'!I123&gt;0,'Regulação de polinização'!I123,TRUNC(IF(S$22=0,$O35,IF(S$22&lt;0,$O35*(1+(-S$22*0.232)),$O35/(1+(S$22*0.232)))))))</f>
        <v>#N/A</v>
      </c>
      <c r="T35" s="1138" t="e">
        <f>IF(T$21=0,0,IF('Regulação de polinização'!J123&gt;0,'Regulação de polinização'!J123,TRUNC(IF(T$22=0,$O35,IF(T$22&lt;0,$O35*(1+(-T$22*0.232)),$O35/(1+(T$22*0.232)))))))</f>
        <v>#N/A</v>
      </c>
      <c r="U35" s="1138" t="e">
        <f>IF(U$21=0,0,IF('Regulação de polinização'!K123&gt;0,'Regulação de polinização'!K123,TRUNC(IF(U$22=0,$O35,IF(U$22&lt;0,$O35*(1+(-U$22*0.232)),$O35/(1+(U$22*0.232)))))))</f>
        <v>#N/A</v>
      </c>
      <c r="V35" s="1138" t="e">
        <f>IF(V$21=0,0,IF('Regulação de polinização'!L123&gt;0,'Regulação de polinização'!L123,TRUNC(IF(V$22=0,$O35,IF(V$22&lt;0,$O35*(1+(-V$22*0.232)),$O35/(1+(V$22*0.232)))))))</f>
        <v>#N/A</v>
      </c>
      <c r="W35" s="1138" t="e">
        <f>IF(W$21=0,0,IF('Regulação de polinização'!M123&gt;0,'Regulação de polinização'!M123,TRUNC(IF(W$22=0,$O35,IF(W$22&lt;0,$O35*(1+(-W$22*0.232)),$O35/(1+(W$22*0.232)))))))</f>
        <v>#N/A</v>
      </c>
      <c r="X35" s="1138" t="e">
        <f>IF(X$21=0,0,IF('Regulação de polinização'!N123&gt;0,'Regulação de polinização'!N123,TRUNC(IF(X$22=0,$O35,IF(X$22&lt;0,$O35*(1+(-X$22*0.232)),$O35/(1+(X$22*0.232)))))))</f>
        <v>#N/A</v>
      </c>
      <c r="Y35" s="1138" t="e">
        <f>IF(Y$21=0,0,IF('Regulação de polinização'!O123&gt;0,'Regulação de polinização'!O123,TRUNC(IF(Y$22=0,$O35,IF(Y$22&lt;0,$O35*(1+(-Y$22*0.232)),$O35/(1+(Y$22*0.232)))))))</f>
        <v>#N/A</v>
      </c>
      <c r="Z35" s="1138" t="e">
        <f>IF(Z$21=0,0,IF('Regulação de polinização'!P123&gt;0,'Regulação de polinização'!P123,TRUNC(IF(Z$22=0,$O35,IF(Z$22&lt;0,$O35*(1+(-Z$22*0.232)),$O35/(1+(Z$22*0.232)))))))</f>
        <v>#N/A</v>
      </c>
      <c r="AA35" s="1127" t="e">
        <f>IF('Regulação de polinização'!Q123&gt;0,'Regulação de polinização'!Q123,VLOOKUP(N35,'Apoio Regulação de Polinização'!$AD$20:$AH$81,4,FALSE))</f>
        <v>#N/A</v>
      </c>
      <c r="AB35" s="769"/>
      <c r="AC35" s="769"/>
      <c r="AD35" s="775" t="s">
        <v>787</v>
      </c>
      <c r="AE35" s="776" t="s">
        <v>762</v>
      </c>
      <c r="AF35" s="777">
        <v>5.2</v>
      </c>
      <c r="AG35" s="778">
        <v>11.1</v>
      </c>
      <c r="AH35" s="776">
        <v>1</v>
      </c>
      <c r="AI35" s="770"/>
      <c r="AJ35" s="770"/>
    </row>
    <row r="36" spans="2:36">
      <c r="B36" s="764" t="s">
        <v>788</v>
      </c>
      <c r="C36" s="783" t="s">
        <v>789</v>
      </c>
      <c r="D36" s="766">
        <v>1</v>
      </c>
      <c r="E36" s="767">
        <v>7</v>
      </c>
      <c r="F36" s="767">
        <v>8</v>
      </c>
      <c r="G36" s="768">
        <f t="shared" si="1"/>
        <v>400000</v>
      </c>
      <c r="H36" s="767">
        <v>5</v>
      </c>
      <c r="I36" s="767" t="s">
        <v>655</v>
      </c>
      <c r="J36" s="767" t="s">
        <v>655</v>
      </c>
      <c r="K36" s="218"/>
      <c r="N36" s="1121">
        <f>'Regulação de polinização'!C124</f>
        <v>0</v>
      </c>
      <c r="O36" s="1138">
        <f>'Regulação de polinização'!E124</f>
        <v>0</v>
      </c>
      <c r="P36" s="1138" t="e">
        <f>IF(P$21=0,0,IF('Regulação de polinização'!F124&gt;0,'Regulação de polinização'!F124,TRUNC(IF(P$22=0,$O36,IF(P$22&lt;0,$O36*(1+(-P$22*0.232)),$O36/(1+(P$22*0.232)))))))</f>
        <v>#N/A</v>
      </c>
      <c r="Q36" s="1138" t="e">
        <f>IF(Q$21=0,0,IF('Regulação de polinização'!G124&gt;0,'Regulação de polinização'!G124,TRUNC(IF(Q$22=0,$O36,IF(Q$22&lt;0,$O36*(1+(-Q$22*0.232)),$O36/(1+(Q$22*0.232)))))))</f>
        <v>#N/A</v>
      </c>
      <c r="R36" s="1138" t="e">
        <f>IF(R$21=0,0,IF('Regulação de polinização'!H124&gt;0,'Regulação de polinização'!H124,TRUNC(IF(R$22=0,$O36,IF(R$22&lt;0,$O36*(1+(-R$22*0.232)),$O36/(1+(R$22*0.232)))))))</f>
        <v>#N/A</v>
      </c>
      <c r="S36" s="1138" t="e">
        <f>IF(S$21=0,0,IF('Regulação de polinização'!I124&gt;0,'Regulação de polinização'!I124,TRUNC(IF(S$22=0,$O36,IF(S$22&lt;0,$O36*(1+(-S$22*0.232)),$O36/(1+(S$22*0.232)))))))</f>
        <v>#N/A</v>
      </c>
      <c r="T36" s="1138" t="e">
        <f>IF(T$21=0,0,IF('Regulação de polinização'!J124&gt;0,'Regulação de polinização'!J124,TRUNC(IF(T$22=0,$O36,IF(T$22&lt;0,$O36*(1+(-T$22*0.232)),$O36/(1+(T$22*0.232)))))))</f>
        <v>#N/A</v>
      </c>
      <c r="U36" s="1138" t="e">
        <f>IF(U$21=0,0,IF('Regulação de polinização'!K124&gt;0,'Regulação de polinização'!K124,TRUNC(IF(U$22=0,$O36,IF(U$22&lt;0,$O36*(1+(-U$22*0.232)),$O36/(1+(U$22*0.232)))))))</f>
        <v>#N/A</v>
      </c>
      <c r="V36" s="1138" t="e">
        <f>IF(V$21=0,0,IF('Regulação de polinização'!L124&gt;0,'Regulação de polinização'!L124,TRUNC(IF(V$22=0,$O36,IF(V$22&lt;0,$O36*(1+(-V$22*0.232)),$O36/(1+(V$22*0.232)))))))</f>
        <v>#N/A</v>
      </c>
      <c r="W36" s="1138" t="e">
        <f>IF(W$21=0,0,IF('Regulação de polinização'!M124&gt;0,'Regulação de polinização'!M124,TRUNC(IF(W$22=0,$O36,IF(W$22&lt;0,$O36*(1+(-W$22*0.232)),$O36/(1+(W$22*0.232)))))))</f>
        <v>#N/A</v>
      </c>
      <c r="X36" s="1138" t="e">
        <f>IF(X$21=0,0,IF('Regulação de polinização'!N124&gt;0,'Regulação de polinização'!N124,TRUNC(IF(X$22=0,$O36,IF(X$22&lt;0,$O36*(1+(-X$22*0.232)),$O36/(1+(X$22*0.232)))))))</f>
        <v>#N/A</v>
      </c>
      <c r="Y36" s="1138" t="e">
        <f>IF(Y$21=0,0,IF('Regulação de polinização'!O124&gt;0,'Regulação de polinização'!O124,TRUNC(IF(Y$22=0,$O36,IF(Y$22&lt;0,$O36*(1+(-Y$22*0.232)),$O36/(1+(Y$22*0.232)))))))</f>
        <v>#N/A</v>
      </c>
      <c r="Z36" s="1138" t="e">
        <f>IF(Z$21=0,0,IF('Regulação de polinização'!P124&gt;0,'Regulação de polinização'!P124,TRUNC(IF(Z$22=0,$O36,IF(Z$22&lt;0,$O36*(1+(-Z$22*0.232)),$O36/(1+(Z$22*0.232)))))))</f>
        <v>#N/A</v>
      </c>
      <c r="AA36" s="1127" t="e">
        <f>IF('Regulação de polinização'!Q124&gt;0,'Regulação de polinização'!Q124,VLOOKUP(N36,'Apoio Regulação de Polinização'!$AD$20:$AH$81,4,FALSE))</f>
        <v>#N/A</v>
      </c>
      <c r="AB36" s="769"/>
      <c r="AC36" s="769"/>
      <c r="AD36" s="775" t="s">
        <v>790</v>
      </c>
      <c r="AE36" s="776" t="s">
        <v>762</v>
      </c>
      <c r="AF36" s="777">
        <v>5.0999999999999996</v>
      </c>
      <c r="AG36" s="778">
        <v>10.4</v>
      </c>
      <c r="AH36" s="776">
        <v>1</v>
      </c>
      <c r="AI36" s="770"/>
      <c r="AJ36" s="770"/>
    </row>
    <row r="37" spans="2:36">
      <c r="B37" s="764" t="s">
        <v>791</v>
      </c>
      <c r="C37" s="765" t="s">
        <v>792</v>
      </c>
      <c r="D37" s="766">
        <v>0.05</v>
      </c>
      <c r="E37" s="767">
        <v>7</v>
      </c>
      <c r="F37" s="767">
        <v>15</v>
      </c>
      <c r="G37" s="768">
        <f t="shared" si="1"/>
        <v>750000</v>
      </c>
      <c r="H37" s="767">
        <v>5</v>
      </c>
      <c r="I37" s="767" t="s">
        <v>655</v>
      </c>
      <c r="J37" s="767" t="s">
        <v>655</v>
      </c>
      <c r="K37" s="218"/>
      <c r="N37" s="1121">
        <f>'Regulação de polinização'!C125</f>
        <v>0</v>
      </c>
      <c r="O37" s="1138">
        <f>'Regulação de polinização'!E125</f>
        <v>0</v>
      </c>
      <c r="P37" s="1138" t="e">
        <f>IF(P$21=0,0,IF('Regulação de polinização'!F125&gt;0,'Regulação de polinização'!F125,TRUNC(IF(P$22=0,$O37,IF(P$22&lt;0,$O37*(1+(-P$22*0.232)),$O37/(1+(P$22*0.232)))))))</f>
        <v>#N/A</v>
      </c>
      <c r="Q37" s="1138" t="e">
        <f>IF(Q$21=0,0,IF('Regulação de polinização'!G125&gt;0,'Regulação de polinização'!G125,TRUNC(IF(Q$22=0,$O37,IF(Q$22&lt;0,$O37*(1+(-Q$22*0.232)),$O37/(1+(Q$22*0.232)))))))</f>
        <v>#N/A</v>
      </c>
      <c r="R37" s="1138" t="e">
        <f>IF(R$21=0,0,IF('Regulação de polinização'!H125&gt;0,'Regulação de polinização'!H125,TRUNC(IF(R$22=0,$O37,IF(R$22&lt;0,$O37*(1+(-R$22*0.232)),$O37/(1+(R$22*0.232)))))))</f>
        <v>#N/A</v>
      </c>
      <c r="S37" s="1138" t="e">
        <f>IF(S$21=0,0,IF('Regulação de polinização'!I125&gt;0,'Regulação de polinização'!I125,TRUNC(IF(S$22=0,$O37,IF(S$22&lt;0,$O37*(1+(-S$22*0.232)),$O37/(1+(S$22*0.232)))))))</f>
        <v>#N/A</v>
      </c>
      <c r="T37" s="1138" t="e">
        <f>IF(T$21=0,0,IF('Regulação de polinização'!J125&gt;0,'Regulação de polinização'!J125,TRUNC(IF(T$22=0,$O37,IF(T$22&lt;0,$O37*(1+(-T$22*0.232)),$O37/(1+(T$22*0.232)))))))</f>
        <v>#N/A</v>
      </c>
      <c r="U37" s="1138" t="e">
        <f>IF(U$21=0,0,IF('Regulação de polinização'!K125&gt;0,'Regulação de polinização'!K125,TRUNC(IF(U$22=0,$O37,IF(U$22&lt;0,$O37*(1+(-U$22*0.232)),$O37/(1+(U$22*0.232)))))))</f>
        <v>#N/A</v>
      </c>
      <c r="V37" s="1138" t="e">
        <f>IF(V$21=0,0,IF('Regulação de polinização'!L125&gt;0,'Regulação de polinização'!L125,TRUNC(IF(V$22=0,$O37,IF(V$22&lt;0,$O37*(1+(-V$22*0.232)),$O37/(1+(V$22*0.232)))))))</f>
        <v>#N/A</v>
      </c>
      <c r="W37" s="1138" t="e">
        <f>IF(W$21=0,0,IF('Regulação de polinização'!M125&gt;0,'Regulação de polinização'!M125,TRUNC(IF(W$22=0,$O37,IF(W$22&lt;0,$O37*(1+(-W$22*0.232)),$O37/(1+(W$22*0.232)))))))</f>
        <v>#N/A</v>
      </c>
      <c r="X37" s="1138" t="e">
        <f>IF(X$21=0,0,IF('Regulação de polinização'!N125&gt;0,'Regulação de polinização'!N125,TRUNC(IF(X$22=0,$O37,IF(X$22&lt;0,$O37*(1+(-X$22*0.232)),$O37/(1+(X$22*0.232)))))))</f>
        <v>#N/A</v>
      </c>
      <c r="Y37" s="1138" t="e">
        <f>IF(Y$21=0,0,IF('Regulação de polinização'!O125&gt;0,'Regulação de polinização'!O125,TRUNC(IF(Y$22=0,$O37,IF(Y$22&lt;0,$O37*(1+(-Y$22*0.232)),$O37/(1+(Y$22*0.232)))))))</f>
        <v>#N/A</v>
      </c>
      <c r="Z37" s="1138" t="e">
        <f>IF(Z$21=0,0,IF('Regulação de polinização'!P125&gt;0,'Regulação de polinização'!P125,TRUNC(IF(Z$22=0,$O37,IF(Z$22&lt;0,$O37*(1+(-Z$22*0.232)),$O37/(1+(Z$22*0.232)))))))</f>
        <v>#N/A</v>
      </c>
      <c r="AA37" s="1127" t="e">
        <f>IF('Regulação de polinização'!Q125&gt;0,'Regulação de polinização'!Q125,VLOOKUP(N37,'Apoio Regulação de Polinização'!$AD$20:$AH$81,4,FALSE))</f>
        <v>#N/A</v>
      </c>
      <c r="AB37" s="769"/>
      <c r="AC37" s="769"/>
      <c r="AD37" s="775" t="s">
        <v>793</v>
      </c>
      <c r="AE37" s="776" t="s">
        <v>762</v>
      </c>
      <c r="AF37" s="777">
        <v>3.5</v>
      </c>
      <c r="AG37" s="778">
        <v>3</v>
      </c>
      <c r="AH37" s="776">
        <v>1</v>
      </c>
      <c r="AI37" s="770"/>
      <c r="AJ37" s="770"/>
    </row>
    <row r="38" spans="2:36" ht="15" thickBot="1">
      <c r="B38" s="764" t="s">
        <v>794</v>
      </c>
      <c r="C38" s="765" t="s">
        <v>795</v>
      </c>
      <c r="D38" s="767" t="s">
        <v>655</v>
      </c>
      <c r="E38" s="767" t="s">
        <v>655</v>
      </c>
      <c r="F38" s="767">
        <v>4</v>
      </c>
      <c r="G38" s="768">
        <f t="shared" si="1"/>
        <v>200000</v>
      </c>
      <c r="H38" s="767">
        <v>5</v>
      </c>
      <c r="I38" s="767" t="s">
        <v>655</v>
      </c>
      <c r="J38" s="767" t="s">
        <v>655</v>
      </c>
      <c r="K38" s="218"/>
      <c r="N38" s="1123">
        <f>'Regulação de polinização'!C126</f>
        <v>0</v>
      </c>
      <c r="O38" s="1139">
        <f>'Regulação de polinização'!E126</f>
        <v>0</v>
      </c>
      <c r="P38" s="1139" t="e">
        <f>IF(P$21=0,0,IF('Regulação de polinização'!F126&gt;0,'Regulação de polinização'!F126,TRUNC(IF(P$22=0,$O38,IF(P$22&lt;0,$O38*(1+(-P$22*0.232)),$O38/(1+(P$22*0.232)))))))</f>
        <v>#N/A</v>
      </c>
      <c r="Q38" s="1139" t="e">
        <f>IF(Q$21=0,0,IF('Regulação de polinização'!G126&gt;0,'Regulação de polinização'!G126,TRUNC(IF(Q$22=0,$O38,IF(Q$22&lt;0,$O38*(1+(-Q$22*0.232)),$O38/(1+(Q$22*0.232)))))))</f>
        <v>#N/A</v>
      </c>
      <c r="R38" s="1139" t="e">
        <f>IF(R$21=0,0,IF('Regulação de polinização'!H126&gt;0,'Regulação de polinização'!H126,TRUNC(IF(R$22=0,$O38,IF(R$22&lt;0,$O38*(1+(-R$22*0.232)),$O38/(1+(R$22*0.232)))))))</f>
        <v>#N/A</v>
      </c>
      <c r="S38" s="1139" t="e">
        <f>IF(S$21=0,0,IF('Regulação de polinização'!I126&gt;0,'Regulação de polinização'!I126,TRUNC(IF(S$22=0,$O38,IF(S$22&lt;0,$O38*(1+(-S$22*0.232)),$O38/(1+(S$22*0.232)))))))</f>
        <v>#N/A</v>
      </c>
      <c r="T38" s="1139" t="e">
        <f>IF(T$21=0,0,IF('Regulação de polinização'!J126&gt;0,'Regulação de polinização'!J126,TRUNC(IF(T$22=0,$O38,IF(T$22&lt;0,$O38*(1+(-T$22*0.232)),$O38/(1+(T$22*0.232)))))))</f>
        <v>#N/A</v>
      </c>
      <c r="U38" s="1139" t="e">
        <f>IF(U$21=0,0,IF('Regulação de polinização'!K126&gt;0,'Regulação de polinização'!K126,TRUNC(IF(U$22=0,$O38,IF(U$22&lt;0,$O38*(1+(-U$22*0.232)),$O38/(1+(U$22*0.232)))))))</f>
        <v>#N/A</v>
      </c>
      <c r="V38" s="1139" t="e">
        <f>IF(V$21=0,0,IF('Regulação de polinização'!L126&gt;0,'Regulação de polinização'!L126,TRUNC(IF(V$22=0,$O38,IF(V$22&lt;0,$O38*(1+(-V$22*0.232)),$O38/(1+(V$22*0.232)))))))</f>
        <v>#N/A</v>
      </c>
      <c r="W38" s="1139" t="e">
        <f>IF(W$21=0,0,IF('Regulação de polinização'!M126&gt;0,'Regulação de polinização'!M126,TRUNC(IF(W$22=0,$O38,IF(W$22&lt;0,$O38*(1+(-W$22*0.232)),$O38/(1+(W$22*0.232)))))))</f>
        <v>#N/A</v>
      </c>
      <c r="X38" s="1139" t="e">
        <f>IF(X$21=0,0,IF('Regulação de polinização'!N126&gt;0,'Regulação de polinização'!N126,TRUNC(IF(X$22=0,$O38,IF(X$22&lt;0,$O38*(1+(-X$22*0.232)),$O38/(1+(X$22*0.232)))))))</f>
        <v>#N/A</v>
      </c>
      <c r="Y38" s="1139" t="e">
        <f>IF(Y$21=0,0,IF('Regulação de polinização'!O126&gt;0,'Regulação de polinização'!O126,TRUNC(IF(Y$22=0,$O38,IF(Y$22&lt;0,$O38*(1+(-Y$22*0.232)),$O38/(1+(Y$22*0.232)))))))</f>
        <v>#N/A</v>
      </c>
      <c r="Z38" s="1139" t="e">
        <f>IF(Z$21=0,0,IF('Regulação de polinização'!P126&gt;0,'Regulação de polinização'!P126,TRUNC(IF(Z$22=0,$O38,IF(Z$22&lt;0,$O38*(1+(-Z$22*0.232)),$O38/(1+(Z$22*0.232)))))))</f>
        <v>#N/A</v>
      </c>
      <c r="AA38" s="1127" t="e">
        <f>IF('Regulação de polinização'!Q126&gt;0,'Regulação de polinização'!Q126,VLOOKUP(N38,'Apoio Regulação de Polinização'!$AD$20:$AH$81,4,FALSE))</f>
        <v>#N/A</v>
      </c>
      <c r="AB38" s="769"/>
      <c r="AC38" s="769"/>
      <c r="AD38" s="775" t="s">
        <v>796</v>
      </c>
      <c r="AE38" s="776" t="s">
        <v>762</v>
      </c>
      <c r="AF38" s="777">
        <v>2.2999999999999998</v>
      </c>
      <c r="AG38" s="778">
        <v>0.7</v>
      </c>
      <c r="AH38" s="776">
        <v>1</v>
      </c>
      <c r="AI38" s="770"/>
      <c r="AJ38" s="770"/>
    </row>
    <row r="39" spans="2:36" ht="15" thickTop="1">
      <c r="B39" s="764" t="s">
        <v>1270</v>
      </c>
      <c r="C39" s="765" t="s">
        <v>797</v>
      </c>
      <c r="D39" s="766">
        <v>0.6</v>
      </c>
      <c r="E39" s="767">
        <v>7</v>
      </c>
      <c r="F39" s="767">
        <v>2</v>
      </c>
      <c r="G39" s="768">
        <f t="shared" si="1"/>
        <v>100000</v>
      </c>
      <c r="H39" s="767">
        <v>5</v>
      </c>
      <c r="I39" s="767" t="s">
        <v>655</v>
      </c>
      <c r="J39" s="767" t="s">
        <v>655</v>
      </c>
      <c r="K39" s="218"/>
      <c r="N39" s="1121">
        <f>'Regulação de polinização'!C133</f>
        <v>0</v>
      </c>
      <c r="O39" s="1138">
        <f>'Regulação de polinização'!D133</f>
        <v>0</v>
      </c>
      <c r="P39" s="1138" t="e">
        <f>IF(P$21=0,0,IF('Regulação de polinização'!E133&gt;0,'Regulação de polinização'!E133,TRUNC(IF(P$22=0,$O39,IF(P$22&lt;0,$O39*(1+(-P$22*0.232)),$O39/(1+(P$22*0.232)))))))</f>
        <v>#N/A</v>
      </c>
      <c r="Q39" s="1138" t="e">
        <f>IF(Q$21=0,0,IF('Regulação de polinização'!F133&gt;0,'Regulação de polinização'!F133,TRUNC(IF(Q$22=0,$O39,IF(Q$22&lt;0,$O39*(1+(-Q$22*0.232)),$O39/(1+(Q$22*0.232)))))))</f>
        <v>#N/A</v>
      </c>
      <c r="R39" s="1138" t="e">
        <f>IF(R$21=0,0,IF('Regulação de polinização'!G133&gt;0,'Regulação de polinização'!G133,TRUNC(IF(R$22=0,$O39,IF(R$22&lt;0,$O39*(1+(-R$22*0.232)),$O39/(1+(R$22*0.232)))))))</f>
        <v>#N/A</v>
      </c>
      <c r="S39" s="1138" t="e">
        <f>IF(S$21=0,0,IF('Regulação de polinização'!H133&gt;0,'Regulação de polinização'!H133,TRUNC(IF(S$22=0,$O39,IF(S$22&lt;0,$O39*(1+(-S$22*0.232)),$O39/(1+(S$22*0.232)))))))</f>
        <v>#N/A</v>
      </c>
      <c r="T39" s="1138" t="e">
        <f>IF(T$21=0,0,IF('Regulação de polinização'!I133&gt;0,'Regulação de polinização'!I133,TRUNC(IF(T$22=0,$O39,IF(T$22&lt;0,$O39*(1+(-T$22*0.232)),$O39/(1+(T$22*0.232)))))))</f>
        <v>#N/A</v>
      </c>
      <c r="U39" s="1138" t="e">
        <f>IF(U$21=0,0,IF('Regulação de polinização'!J133&gt;0,'Regulação de polinização'!J133,TRUNC(IF(U$22=0,$O39,IF(U$22&lt;0,$O39*(1+(-U$22*0.232)),$O39/(1+(U$22*0.232)))))))</f>
        <v>#N/A</v>
      </c>
      <c r="V39" s="1138" t="e">
        <f>IF(V$21=0,0,IF('Regulação de polinização'!K133&gt;0,'Regulação de polinização'!K133,TRUNC(IF(V$22=0,$O39,IF(V$22&lt;0,$O39*(1+(-V$22*0.232)),$O39/(1+(V$22*0.232)))))))</f>
        <v>#N/A</v>
      </c>
      <c r="W39" s="1138" t="e">
        <f>IF(W$21=0,0,IF('Regulação de polinização'!L133&gt;0,'Regulação de polinização'!L133,TRUNC(IF(W$22=0,$O39,IF(W$22&lt;0,$O39*(1+(-W$22*0.232)),$O39/(1+(W$22*0.232)))))))</f>
        <v>#N/A</v>
      </c>
      <c r="X39" s="1138" t="e">
        <f>IF(X$21=0,0,IF('Regulação de polinização'!M133&gt;0,'Regulação de polinização'!M133,TRUNC(IF(X$22=0,$O39,IF(X$22&lt;0,$O39*(1+(-X$22*0.232)),$O39/(1+(X$22*0.232)))))))</f>
        <v>#N/A</v>
      </c>
      <c r="Y39" s="1138" t="e">
        <f>IF(Y$21=0,0,IF('Regulação de polinização'!N133&gt;0,'Regulação de polinização'!N133,TRUNC(IF(Y$22=0,$O39,IF(Y$22&lt;0,$O39*(1+(-Y$22*0.232)),$O39/(1+(Y$22*0.232)))))))</f>
        <v>#N/A</v>
      </c>
      <c r="Z39" s="1138" t="e">
        <f>IF(Z$21=0,0,IF('Regulação de polinização'!O133&gt;0,'Regulação de polinização'!O133,TRUNC(IF(Z$22=0,$O39,IF(Z$22&lt;0,$O39*(1+(-Z$22*0.232)),$O39/(1+(Z$22*0.232)))))))</f>
        <v>#N/A</v>
      </c>
      <c r="AA39" s="1128" t="e">
        <f>IF('Regulação de polinização'!P133&gt;0,'Regulação de polinização'!P133,10^(-1.363+3.366*LOG10('Regulação de polinização'!Q133)))</f>
        <v>#NUM!</v>
      </c>
      <c r="AB39" s="784" t="s">
        <v>798</v>
      </c>
      <c r="AC39" s="769"/>
      <c r="AD39" s="775" t="s">
        <v>799</v>
      </c>
      <c r="AE39" s="776" t="s">
        <v>800</v>
      </c>
      <c r="AF39" s="777">
        <v>1.6</v>
      </c>
      <c r="AG39" s="778">
        <v>0.2</v>
      </c>
      <c r="AH39" s="776">
        <v>1</v>
      </c>
      <c r="AI39" s="770"/>
      <c r="AJ39" s="770"/>
    </row>
    <row r="40" spans="2:36">
      <c r="B40" s="764" t="s">
        <v>801</v>
      </c>
      <c r="C40" s="785" t="s">
        <v>655</v>
      </c>
      <c r="D40" s="766">
        <v>0.69</v>
      </c>
      <c r="E40" s="767">
        <v>7</v>
      </c>
      <c r="F40" s="767">
        <v>2</v>
      </c>
      <c r="G40" s="768">
        <f t="shared" si="1"/>
        <v>100000</v>
      </c>
      <c r="H40" s="767">
        <v>5</v>
      </c>
      <c r="I40" s="767" t="s">
        <v>655</v>
      </c>
      <c r="J40" s="767" t="s">
        <v>655</v>
      </c>
      <c r="K40" s="218"/>
      <c r="N40" s="1121">
        <f>'Regulação de polinização'!C134</f>
        <v>0</v>
      </c>
      <c r="O40" s="1138">
        <f>'Regulação de polinização'!D134</f>
        <v>0</v>
      </c>
      <c r="P40" s="1138" t="e">
        <f>IF(P$21=0,0,IF('Regulação de polinização'!E134&gt;0,'Regulação de polinização'!E134,TRUNC(IF(P$22=0,$O40,IF(P$22&lt;0,$O40*(1+(-P$22*0.232)),$O40/(1+(P$22*0.232)))))))</f>
        <v>#N/A</v>
      </c>
      <c r="Q40" s="1138" t="e">
        <f>IF(Q$21=0,0,IF('Regulação de polinização'!F134&gt;0,'Regulação de polinização'!F134,TRUNC(IF(Q$22=0,$O40,IF(Q$22&lt;0,$O40*(1+(-Q$22*0.232)),$O40/(1+(Q$22*0.232)))))))</f>
        <v>#N/A</v>
      </c>
      <c r="R40" s="1138" t="e">
        <f>IF(R$21=0,0,IF('Regulação de polinização'!G134&gt;0,'Regulação de polinização'!G134,TRUNC(IF(R$22=0,$O40,IF(R$22&lt;0,$O40*(1+(-R$22*0.232)),$O40/(1+(R$22*0.232)))))))</f>
        <v>#N/A</v>
      </c>
      <c r="S40" s="1138" t="e">
        <f>IF(S$21=0,0,IF('Regulação de polinização'!H134&gt;0,'Regulação de polinização'!H134,TRUNC(IF(S$22=0,$O40,IF(S$22&lt;0,$O40*(1+(-S$22*0.232)),$O40/(1+(S$22*0.232)))))))</f>
        <v>#N/A</v>
      </c>
      <c r="T40" s="1138" t="e">
        <f>IF(T$21=0,0,IF('Regulação de polinização'!I134&gt;0,'Regulação de polinização'!I134,TRUNC(IF(T$22=0,$O40,IF(T$22&lt;0,$O40*(1+(-T$22*0.232)),$O40/(1+(T$22*0.232)))))))</f>
        <v>#N/A</v>
      </c>
      <c r="U40" s="1138" t="e">
        <f>IF(U$21=0,0,IF('Regulação de polinização'!J134&gt;0,'Regulação de polinização'!J134,TRUNC(IF(U$22=0,$O40,IF(U$22&lt;0,$O40*(1+(-U$22*0.232)),$O40/(1+(U$22*0.232)))))))</f>
        <v>#N/A</v>
      </c>
      <c r="V40" s="1138" t="e">
        <f>IF(V$21=0,0,IF('Regulação de polinização'!K134&gt;0,'Regulação de polinização'!K134,TRUNC(IF(V$22=0,$O40,IF(V$22&lt;0,$O40*(1+(-V$22*0.232)),$O40/(1+(V$22*0.232)))))))</f>
        <v>#N/A</v>
      </c>
      <c r="W40" s="1138" t="e">
        <f>IF(W$21=0,0,IF('Regulação de polinização'!L134&gt;0,'Regulação de polinização'!L134,TRUNC(IF(W$22=0,$O40,IF(W$22&lt;0,$O40*(1+(-W$22*0.232)),$O40/(1+(W$22*0.232)))))))</f>
        <v>#N/A</v>
      </c>
      <c r="X40" s="1138" t="e">
        <f>IF(X$21=0,0,IF('Regulação de polinização'!M134&gt;0,'Regulação de polinização'!M134,TRUNC(IF(X$22=0,$O40,IF(X$22&lt;0,$O40*(1+(-X$22*0.232)),$O40/(1+(X$22*0.232)))))))</f>
        <v>#N/A</v>
      </c>
      <c r="Y40" s="1138" t="e">
        <f>IF(Y$21=0,0,IF('Regulação de polinização'!N134&gt;0,'Regulação de polinização'!N134,TRUNC(IF(Y$22=0,$O40,IF(Y$22&lt;0,$O40*(1+(-Y$22*0.232)),$O40/(1+(Y$22*0.232)))))))</f>
        <v>#N/A</v>
      </c>
      <c r="Z40" s="1138" t="e">
        <f>IF(Z$21=0,0,IF('Regulação de polinização'!O134&gt;0,'Regulação de polinização'!O134,TRUNC(IF(Z$22=0,$O40,IF(Z$22&lt;0,$O40*(1+(-Z$22*0.232)),$O40/(1+(Z$22*0.232)))))))</f>
        <v>#N/A</v>
      </c>
      <c r="AA40" s="1128" t="e">
        <f>IF('Regulação de polinização'!P134&gt;0,'Regulação de polinização'!P134,10^(-1.363+3.366*LOG10('Regulação de polinização'!Q134)))</f>
        <v>#NUM!</v>
      </c>
      <c r="AB40" s="769"/>
      <c r="AC40" s="769"/>
      <c r="AD40" s="775" t="s">
        <v>802</v>
      </c>
      <c r="AE40" s="776" t="s">
        <v>800</v>
      </c>
      <c r="AF40" s="777">
        <v>1.5</v>
      </c>
      <c r="AG40" s="778">
        <v>0.2</v>
      </c>
      <c r="AH40" s="776">
        <v>1</v>
      </c>
      <c r="AI40" s="770"/>
      <c r="AJ40" s="770"/>
    </row>
    <row r="41" spans="2:36">
      <c r="B41" s="764" t="s">
        <v>803</v>
      </c>
      <c r="C41" s="765" t="s">
        <v>804</v>
      </c>
      <c r="D41" s="766">
        <v>0.62</v>
      </c>
      <c r="E41" s="767">
        <v>7</v>
      </c>
      <c r="F41" s="767">
        <v>4</v>
      </c>
      <c r="G41" s="768">
        <f t="shared" si="1"/>
        <v>200000</v>
      </c>
      <c r="H41" s="767">
        <v>5</v>
      </c>
      <c r="I41" s="767" t="s">
        <v>655</v>
      </c>
      <c r="J41" s="767" t="s">
        <v>655</v>
      </c>
      <c r="K41" s="218"/>
      <c r="N41" s="1121">
        <f>'Regulação de polinização'!C135</f>
        <v>0</v>
      </c>
      <c r="O41" s="1138">
        <f>'Regulação de polinização'!D135</f>
        <v>0</v>
      </c>
      <c r="P41" s="1138" t="e">
        <f>IF(P$21=0,0,IF('Regulação de polinização'!E135&gt;0,'Regulação de polinização'!E135,TRUNC(IF(P$22=0,$O41,IF(P$22&lt;0,$O41*(1+(-P$22*0.232)),$O41/(1+(P$22*0.232)))))))</f>
        <v>#N/A</v>
      </c>
      <c r="Q41" s="1138" t="e">
        <f>IF(Q$21=0,0,IF('Regulação de polinização'!F135&gt;0,'Regulação de polinização'!F135,TRUNC(IF(Q$22=0,$O41,IF(Q$22&lt;0,$O41*(1+(-Q$22*0.232)),$O41/(1+(Q$22*0.232)))))))</f>
        <v>#N/A</v>
      </c>
      <c r="R41" s="1138" t="e">
        <f>IF(R$21=0,0,IF('Regulação de polinização'!G135&gt;0,'Regulação de polinização'!G135,TRUNC(IF(R$22=0,$O41,IF(R$22&lt;0,$O41*(1+(-R$22*0.232)),$O41/(1+(R$22*0.232)))))))</f>
        <v>#N/A</v>
      </c>
      <c r="S41" s="1138" t="e">
        <f>IF(S$21=0,0,IF('Regulação de polinização'!H135&gt;0,'Regulação de polinização'!H135,TRUNC(IF(S$22=0,$O41,IF(S$22&lt;0,$O41*(1+(-S$22*0.232)),$O41/(1+(S$22*0.232)))))))</f>
        <v>#N/A</v>
      </c>
      <c r="T41" s="1138" t="e">
        <f>IF(T$21=0,0,IF('Regulação de polinização'!I135&gt;0,'Regulação de polinização'!I135,TRUNC(IF(T$22=0,$O41,IF(T$22&lt;0,$O41*(1+(-T$22*0.232)),$O41/(1+(T$22*0.232)))))))</f>
        <v>#N/A</v>
      </c>
      <c r="U41" s="1138" t="e">
        <f>IF(U$21=0,0,IF('Regulação de polinização'!J135&gt;0,'Regulação de polinização'!J135,TRUNC(IF(U$22=0,$O41,IF(U$22&lt;0,$O41*(1+(-U$22*0.232)),$O41/(1+(U$22*0.232)))))))</f>
        <v>#N/A</v>
      </c>
      <c r="V41" s="1138" t="e">
        <f>IF(V$21=0,0,IF('Regulação de polinização'!K135&gt;0,'Regulação de polinização'!K135,TRUNC(IF(V$22=0,$O41,IF(V$22&lt;0,$O41*(1+(-V$22*0.232)),$O41/(1+(V$22*0.232)))))))</f>
        <v>#N/A</v>
      </c>
      <c r="W41" s="1138" t="e">
        <f>IF(W$21=0,0,IF('Regulação de polinização'!L135&gt;0,'Regulação de polinização'!L135,TRUNC(IF(W$22=0,$O41,IF(W$22&lt;0,$O41*(1+(-W$22*0.232)),$O41/(1+(W$22*0.232)))))))</f>
        <v>#N/A</v>
      </c>
      <c r="X41" s="1138" t="e">
        <f>IF(X$21=0,0,IF('Regulação de polinização'!M135&gt;0,'Regulação de polinização'!M135,TRUNC(IF(X$22=0,$O41,IF(X$22&lt;0,$O41*(1+(-X$22*0.232)),$O41/(1+(X$22*0.232)))))))</f>
        <v>#N/A</v>
      </c>
      <c r="Y41" s="1138" t="e">
        <f>IF(Y$21=0,0,IF('Regulação de polinização'!N135&gt;0,'Regulação de polinização'!N135,TRUNC(IF(Y$22=0,$O41,IF(Y$22&lt;0,$O41*(1+(-Y$22*0.232)),$O41/(1+(Y$22*0.232)))))))</f>
        <v>#N/A</v>
      </c>
      <c r="Z41" s="1138" t="e">
        <f>IF(Z$21=0,0,IF('Regulação de polinização'!O135&gt;0,'Regulação de polinização'!O135,TRUNC(IF(Z$22=0,$O41,IF(Z$22&lt;0,$O41*(1+(-Z$22*0.232)),$O41/(1+(Z$22*0.232)))))))</f>
        <v>#N/A</v>
      </c>
      <c r="AA41" s="1128" t="e">
        <f>IF('Regulação de polinização'!P135&gt;0,'Regulação de polinização'!P135,10^(-1.363+3.366*LOG10('Regulação de polinização'!Q135)))</f>
        <v>#NUM!</v>
      </c>
      <c r="AB41" s="769"/>
      <c r="AC41" s="769"/>
      <c r="AD41" s="775" t="s">
        <v>805</v>
      </c>
      <c r="AE41" s="776" t="s">
        <v>806</v>
      </c>
      <c r="AF41" s="780">
        <v>4</v>
      </c>
      <c r="AG41" s="778">
        <v>4.5</v>
      </c>
      <c r="AH41" s="776">
        <v>1</v>
      </c>
      <c r="AI41" s="770"/>
      <c r="AJ41" s="770"/>
    </row>
    <row r="42" spans="2:36">
      <c r="B42" s="764" t="s">
        <v>1271</v>
      </c>
      <c r="C42" s="765" t="s">
        <v>807</v>
      </c>
      <c r="D42" s="766">
        <v>0.8</v>
      </c>
      <c r="E42" s="767">
        <v>7</v>
      </c>
      <c r="F42" s="767">
        <v>5</v>
      </c>
      <c r="G42" s="768">
        <f t="shared" si="1"/>
        <v>250000</v>
      </c>
      <c r="H42" s="767">
        <v>7</v>
      </c>
      <c r="I42" s="767" t="s">
        <v>655</v>
      </c>
      <c r="J42" s="767" t="s">
        <v>655</v>
      </c>
      <c r="K42" s="218"/>
      <c r="N42" s="1121">
        <f>'Regulação de polinização'!C136</f>
        <v>0</v>
      </c>
      <c r="O42" s="1138">
        <f>'Regulação de polinização'!D136</f>
        <v>0</v>
      </c>
      <c r="P42" s="1138" t="e">
        <f>IF(P$21=0,0,IF('Regulação de polinização'!E136&gt;0,'Regulação de polinização'!E136,TRUNC(IF(P$22=0,$O42,IF(P$22&lt;0,$O42*(1+(-P$22*0.232)),$O42/(1+(P$22*0.232)))))))</f>
        <v>#N/A</v>
      </c>
      <c r="Q42" s="1138" t="e">
        <f>IF(Q$21=0,0,IF('Regulação de polinização'!F136&gt;0,'Regulação de polinização'!F136,TRUNC(IF(Q$22=0,$O42,IF(Q$22&lt;0,$O42*(1+(-Q$22*0.232)),$O42/(1+(Q$22*0.232)))))))</f>
        <v>#N/A</v>
      </c>
      <c r="R42" s="1138" t="e">
        <f>IF(R$21=0,0,IF('Regulação de polinização'!G136&gt;0,'Regulação de polinização'!G136,TRUNC(IF(R$22=0,$O42,IF(R$22&lt;0,$O42*(1+(-R$22*0.232)),$O42/(1+(R$22*0.232)))))))</f>
        <v>#N/A</v>
      </c>
      <c r="S42" s="1138" t="e">
        <f>IF(S$21=0,0,IF('Regulação de polinização'!H136&gt;0,'Regulação de polinização'!H136,TRUNC(IF(S$22=0,$O42,IF(S$22&lt;0,$O42*(1+(-S$22*0.232)),$O42/(1+(S$22*0.232)))))))</f>
        <v>#N/A</v>
      </c>
      <c r="T42" s="1138" t="e">
        <f>IF(T$21=0,0,IF('Regulação de polinização'!I136&gt;0,'Regulação de polinização'!I136,TRUNC(IF(T$22=0,$O42,IF(T$22&lt;0,$O42*(1+(-T$22*0.232)),$O42/(1+(T$22*0.232)))))))</f>
        <v>#N/A</v>
      </c>
      <c r="U42" s="1138" t="e">
        <f>IF(U$21=0,0,IF('Regulação de polinização'!J136&gt;0,'Regulação de polinização'!J136,TRUNC(IF(U$22=0,$O42,IF(U$22&lt;0,$O42*(1+(-U$22*0.232)),$O42/(1+(U$22*0.232)))))))</f>
        <v>#N/A</v>
      </c>
      <c r="V42" s="1138" t="e">
        <f>IF(V$21=0,0,IF('Regulação de polinização'!K136&gt;0,'Regulação de polinização'!K136,TRUNC(IF(V$22=0,$O42,IF(V$22&lt;0,$O42*(1+(-V$22*0.232)),$O42/(1+(V$22*0.232)))))))</f>
        <v>#N/A</v>
      </c>
      <c r="W42" s="1138" t="e">
        <f>IF(W$21=0,0,IF('Regulação de polinização'!L136&gt;0,'Regulação de polinização'!L136,TRUNC(IF(W$22=0,$O42,IF(W$22&lt;0,$O42*(1+(-W$22*0.232)),$O42/(1+(W$22*0.232)))))))</f>
        <v>#N/A</v>
      </c>
      <c r="X42" s="1138" t="e">
        <f>IF(X$21=0,0,IF('Regulação de polinização'!M136&gt;0,'Regulação de polinização'!M136,TRUNC(IF(X$22=0,$O42,IF(X$22&lt;0,$O42*(1+(-X$22*0.232)),$O42/(1+(X$22*0.232)))))))</f>
        <v>#N/A</v>
      </c>
      <c r="Y42" s="1138" t="e">
        <f>IF(Y$21=0,0,IF('Regulação de polinização'!N136&gt;0,'Regulação de polinização'!N136,TRUNC(IF(Y$22=0,$O42,IF(Y$22&lt;0,$O42*(1+(-Y$22*0.232)),$O42/(1+(Y$22*0.232)))))))</f>
        <v>#N/A</v>
      </c>
      <c r="Z42" s="1138" t="e">
        <f>IF(Z$21=0,0,IF('Regulação de polinização'!O136&gt;0,'Regulação de polinização'!O136,TRUNC(IF(Z$22=0,$O42,IF(Z$22&lt;0,$O42*(1+(-Z$22*0.232)),$O42/(1+(Z$22*0.232)))))))</f>
        <v>#N/A</v>
      </c>
      <c r="AA42" s="1128" t="e">
        <f>IF('Regulação de polinização'!P136&gt;0,'Regulação de polinização'!P136,10^(-1.363+3.366*LOG10('Regulação de polinização'!Q136)))</f>
        <v>#NUM!</v>
      </c>
      <c r="AB42" s="769"/>
      <c r="AC42" s="769"/>
      <c r="AD42" s="781" t="s">
        <v>808</v>
      </c>
      <c r="AE42" s="776" t="s">
        <v>809</v>
      </c>
      <c r="AF42" s="777">
        <v>2.9</v>
      </c>
      <c r="AG42" s="778">
        <v>4</v>
      </c>
      <c r="AH42" s="782">
        <v>1</v>
      </c>
      <c r="AI42" s="770"/>
      <c r="AJ42" s="770"/>
    </row>
    <row r="43" spans="2:36">
      <c r="B43" s="764" t="s">
        <v>810</v>
      </c>
      <c r="C43" s="765" t="s">
        <v>811</v>
      </c>
      <c r="D43" s="766">
        <v>1</v>
      </c>
      <c r="E43" s="767">
        <v>7</v>
      </c>
      <c r="F43" s="767">
        <v>2</v>
      </c>
      <c r="G43" s="768">
        <f t="shared" si="1"/>
        <v>100000</v>
      </c>
      <c r="H43" s="767">
        <v>5</v>
      </c>
      <c r="I43" s="767" t="s">
        <v>655</v>
      </c>
      <c r="J43" s="767" t="s">
        <v>655</v>
      </c>
      <c r="K43" s="218"/>
      <c r="N43" s="1121">
        <f>'Regulação de polinização'!C137</f>
        <v>0</v>
      </c>
      <c r="O43" s="1138">
        <f>'Regulação de polinização'!D137</f>
        <v>0</v>
      </c>
      <c r="P43" s="1138" t="e">
        <f>IF(P$21=0,0,IF('Regulação de polinização'!E137&gt;0,'Regulação de polinização'!E137,TRUNC(IF(P$22=0,$O43,IF(P$22&lt;0,$O43*(1+(-P$22*0.232)),$O43/(1+(P$22*0.232)))))))</f>
        <v>#N/A</v>
      </c>
      <c r="Q43" s="1138" t="e">
        <f>IF(Q$21=0,0,IF('Regulação de polinização'!F137&gt;0,'Regulação de polinização'!F137,TRUNC(IF(Q$22=0,$O43,IF(Q$22&lt;0,$O43*(1+(-Q$22*0.232)),$O43/(1+(Q$22*0.232)))))))</f>
        <v>#N/A</v>
      </c>
      <c r="R43" s="1138" t="e">
        <f>IF(R$21=0,0,IF('Regulação de polinização'!G137&gt;0,'Regulação de polinização'!G137,TRUNC(IF(R$22=0,$O43,IF(R$22&lt;0,$O43*(1+(-R$22*0.232)),$O43/(1+(R$22*0.232)))))))</f>
        <v>#N/A</v>
      </c>
      <c r="S43" s="1138" t="e">
        <f>IF(S$21=0,0,IF('Regulação de polinização'!H137&gt;0,'Regulação de polinização'!H137,TRUNC(IF(S$22=0,$O43,IF(S$22&lt;0,$O43*(1+(-S$22*0.232)),$O43/(1+(S$22*0.232)))))))</f>
        <v>#N/A</v>
      </c>
      <c r="T43" s="1138" t="e">
        <f>IF(T$21=0,0,IF('Regulação de polinização'!I137&gt;0,'Regulação de polinização'!I137,TRUNC(IF(T$22=0,$O43,IF(T$22&lt;0,$O43*(1+(-T$22*0.232)),$O43/(1+(T$22*0.232)))))))</f>
        <v>#N/A</v>
      </c>
      <c r="U43" s="1138" t="e">
        <f>IF(U$21=0,0,IF('Regulação de polinização'!J137&gt;0,'Regulação de polinização'!J137,TRUNC(IF(U$22=0,$O43,IF(U$22&lt;0,$O43*(1+(-U$22*0.232)),$O43/(1+(U$22*0.232)))))))</f>
        <v>#N/A</v>
      </c>
      <c r="V43" s="1138" t="e">
        <f>IF(V$21=0,0,IF('Regulação de polinização'!K137&gt;0,'Regulação de polinização'!K137,TRUNC(IF(V$22=0,$O43,IF(V$22&lt;0,$O43*(1+(-V$22*0.232)),$O43/(1+(V$22*0.232)))))))</f>
        <v>#N/A</v>
      </c>
      <c r="W43" s="1138" t="e">
        <f>IF(W$21=0,0,IF('Regulação de polinização'!L137&gt;0,'Regulação de polinização'!L137,TRUNC(IF(W$22=0,$O43,IF(W$22&lt;0,$O43*(1+(-W$22*0.232)),$O43/(1+(W$22*0.232)))))))</f>
        <v>#N/A</v>
      </c>
      <c r="X43" s="1138" t="e">
        <f>IF(X$21=0,0,IF('Regulação de polinização'!M137&gt;0,'Regulação de polinização'!M137,TRUNC(IF(X$22=0,$O43,IF(X$22&lt;0,$O43*(1+(-X$22*0.232)),$O43/(1+(X$22*0.232)))))))</f>
        <v>#N/A</v>
      </c>
      <c r="Y43" s="1138" t="e">
        <f>IF(Y$21=0,0,IF('Regulação de polinização'!N137&gt;0,'Regulação de polinização'!N137,TRUNC(IF(Y$22=0,$O43,IF(Y$22&lt;0,$O43*(1+(-Y$22*0.232)),$O43/(1+(Y$22*0.232)))))))</f>
        <v>#N/A</v>
      </c>
      <c r="Z43" s="1138" t="e">
        <f>IF(Z$21=0,0,IF('Regulação de polinização'!O137&gt;0,'Regulação de polinização'!O137,TRUNC(IF(Z$22=0,$O43,IF(Z$22&lt;0,$O43*(1+(-Z$22*0.232)),$O43/(1+(Z$22*0.232)))))))</f>
        <v>#N/A</v>
      </c>
      <c r="AA43" s="1128" t="e">
        <f>IF('Regulação de polinização'!P137&gt;0,'Regulação de polinização'!P137,10^(-1.363+3.366*LOG10('Regulação de polinização'!Q137)))</f>
        <v>#NUM!</v>
      </c>
      <c r="AB43" s="769"/>
      <c r="AC43" s="769"/>
      <c r="AD43" s="781" t="s">
        <v>812</v>
      </c>
      <c r="AE43" s="776" t="s">
        <v>762</v>
      </c>
      <c r="AF43" s="777">
        <v>5.6</v>
      </c>
      <c r="AG43" s="778">
        <v>45.5</v>
      </c>
      <c r="AH43" s="782">
        <v>1</v>
      </c>
      <c r="AI43" s="770"/>
      <c r="AJ43" s="770"/>
    </row>
    <row r="44" spans="2:36">
      <c r="B44" s="764" t="s">
        <v>813</v>
      </c>
      <c r="C44" s="765" t="s">
        <v>814</v>
      </c>
      <c r="D44" s="766">
        <v>0.9</v>
      </c>
      <c r="E44" s="767">
        <v>7</v>
      </c>
      <c r="F44" s="767">
        <v>4</v>
      </c>
      <c r="G44" s="768">
        <f t="shared" si="1"/>
        <v>200000</v>
      </c>
      <c r="H44" s="767">
        <v>6</v>
      </c>
      <c r="I44" s="767" t="s">
        <v>655</v>
      </c>
      <c r="J44" s="767" t="s">
        <v>655</v>
      </c>
      <c r="K44" s="218"/>
      <c r="N44" s="1121">
        <f>'Regulação de polinização'!C138</f>
        <v>0</v>
      </c>
      <c r="O44" s="1138">
        <f>'Regulação de polinização'!D138</f>
        <v>0</v>
      </c>
      <c r="P44" s="1138" t="e">
        <f>IF(P$21=0,0,IF('Regulação de polinização'!E138&gt;0,'Regulação de polinização'!E138,TRUNC(IF(P$22=0,$O44,IF(P$22&lt;0,$O44*(1+(-P$22*0.232)),$O44/(1+(P$22*0.232)))))))</f>
        <v>#N/A</v>
      </c>
      <c r="Q44" s="1138" t="e">
        <f>IF(Q$21=0,0,IF('Regulação de polinização'!F138&gt;0,'Regulação de polinização'!F138,TRUNC(IF(Q$22=0,$O44,IF(Q$22&lt;0,$O44*(1+(-Q$22*0.232)),$O44/(1+(Q$22*0.232)))))))</f>
        <v>#N/A</v>
      </c>
      <c r="R44" s="1138" t="e">
        <f>IF(R$21=0,0,IF('Regulação de polinização'!G138&gt;0,'Regulação de polinização'!G138,TRUNC(IF(R$22=0,$O44,IF(R$22&lt;0,$O44*(1+(-R$22*0.232)),$O44/(1+(R$22*0.232)))))))</f>
        <v>#N/A</v>
      </c>
      <c r="S44" s="1138" t="e">
        <f>IF(S$21=0,0,IF('Regulação de polinização'!H138&gt;0,'Regulação de polinização'!H138,TRUNC(IF(S$22=0,$O44,IF(S$22&lt;0,$O44*(1+(-S$22*0.232)),$O44/(1+(S$22*0.232)))))))</f>
        <v>#N/A</v>
      </c>
      <c r="T44" s="1138" t="e">
        <f>IF(T$21=0,0,IF('Regulação de polinização'!I138&gt;0,'Regulação de polinização'!I138,TRUNC(IF(T$22=0,$O44,IF(T$22&lt;0,$O44*(1+(-T$22*0.232)),$O44/(1+(T$22*0.232)))))))</f>
        <v>#N/A</v>
      </c>
      <c r="U44" s="1138" t="e">
        <f>IF(U$21=0,0,IF('Regulação de polinização'!J138&gt;0,'Regulação de polinização'!J138,TRUNC(IF(U$22=0,$O44,IF(U$22&lt;0,$O44*(1+(-U$22*0.232)),$O44/(1+(U$22*0.232)))))))</f>
        <v>#N/A</v>
      </c>
      <c r="V44" s="1138" t="e">
        <f>IF(V$21=0,0,IF('Regulação de polinização'!K138&gt;0,'Regulação de polinização'!K138,TRUNC(IF(V$22=0,$O44,IF(V$22&lt;0,$O44*(1+(-V$22*0.232)),$O44/(1+(V$22*0.232)))))))</f>
        <v>#N/A</v>
      </c>
      <c r="W44" s="1138" t="e">
        <f>IF(W$21=0,0,IF('Regulação de polinização'!L138&gt;0,'Regulação de polinização'!L138,TRUNC(IF(W$22=0,$O44,IF(W$22&lt;0,$O44*(1+(-W$22*0.232)),$O44/(1+(W$22*0.232)))))))</f>
        <v>#N/A</v>
      </c>
      <c r="X44" s="1138" t="e">
        <f>IF(X$21=0,0,IF('Regulação de polinização'!M138&gt;0,'Regulação de polinização'!M138,TRUNC(IF(X$22=0,$O44,IF(X$22&lt;0,$O44*(1+(-X$22*0.232)),$O44/(1+(X$22*0.232)))))))</f>
        <v>#N/A</v>
      </c>
      <c r="Y44" s="1138" t="e">
        <f>IF(Y$21=0,0,IF('Regulação de polinização'!N138&gt;0,'Regulação de polinização'!N138,TRUNC(IF(Y$22=0,$O44,IF(Y$22&lt;0,$O44*(1+(-Y$22*0.232)),$O44/(1+(Y$22*0.232)))))))</f>
        <v>#N/A</v>
      </c>
      <c r="Z44" s="1138" t="e">
        <f>IF(Z$21=0,0,IF('Regulação de polinização'!O138&gt;0,'Regulação de polinização'!O138,TRUNC(IF(Z$22=0,$O44,IF(Z$22&lt;0,$O44*(1+(-Z$22*0.232)),$O44/(1+(Z$22*0.232)))))))</f>
        <v>#N/A</v>
      </c>
      <c r="AA44" s="1128" t="e">
        <f>IF('Regulação de polinização'!P138&gt;0,'Regulação de polinização'!P138,10^(-1.363+3.366*LOG10('Regulação de polinização'!Q138)))</f>
        <v>#NUM!</v>
      </c>
      <c r="AB44" s="769"/>
      <c r="AC44" s="769"/>
      <c r="AD44" s="775" t="s">
        <v>815</v>
      </c>
      <c r="AE44" s="776" t="s">
        <v>762</v>
      </c>
      <c r="AF44" s="777">
        <v>1.6</v>
      </c>
      <c r="AG44" s="778">
        <v>0.2</v>
      </c>
      <c r="AH44" s="776">
        <v>1</v>
      </c>
      <c r="AI44" s="770"/>
      <c r="AJ44" s="770"/>
    </row>
    <row r="45" spans="2:36">
      <c r="B45" s="764" t="s">
        <v>816</v>
      </c>
      <c r="C45" s="765" t="s">
        <v>817</v>
      </c>
      <c r="D45" s="767" t="s">
        <v>655</v>
      </c>
      <c r="E45" s="767" t="s">
        <v>655</v>
      </c>
      <c r="F45" s="767">
        <v>2.5</v>
      </c>
      <c r="G45" s="768">
        <f t="shared" si="1"/>
        <v>125000</v>
      </c>
      <c r="H45" s="767">
        <v>6</v>
      </c>
      <c r="I45" s="767" t="s">
        <v>655</v>
      </c>
      <c r="J45" s="767" t="s">
        <v>655</v>
      </c>
      <c r="K45" s="218"/>
      <c r="N45" s="1121">
        <f>'Regulação de polinização'!C139</f>
        <v>0</v>
      </c>
      <c r="O45" s="1138">
        <f>'Regulação de polinização'!D139</f>
        <v>0</v>
      </c>
      <c r="P45" s="1138" t="e">
        <f>IF(P$21=0,0,IF('Regulação de polinização'!E139&gt;0,'Regulação de polinização'!E139,TRUNC(IF(P$22=0,$O45,IF(P$22&lt;0,$O45*(1+(-P$22*0.232)),$O45/(1+(P$22*0.232)))))))</f>
        <v>#N/A</v>
      </c>
      <c r="Q45" s="1138" t="e">
        <f>IF(Q$21=0,0,IF('Regulação de polinização'!F139&gt;0,'Regulação de polinização'!F139,TRUNC(IF(Q$22=0,$O45,IF(Q$22&lt;0,$O45*(1+(-Q$22*0.232)),$O45/(1+(Q$22*0.232)))))))</f>
        <v>#N/A</v>
      </c>
      <c r="R45" s="1138" t="e">
        <f>IF(R$21=0,0,IF('Regulação de polinização'!G139&gt;0,'Regulação de polinização'!G139,TRUNC(IF(R$22=0,$O45,IF(R$22&lt;0,$O45*(1+(-R$22*0.232)),$O45/(1+(R$22*0.232)))))))</f>
        <v>#N/A</v>
      </c>
      <c r="S45" s="1138" t="e">
        <f>IF(S$21=0,0,IF('Regulação de polinização'!H139&gt;0,'Regulação de polinização'!H139,TRUNC(IF(S$22=0,$O45,IF(S$22&lt;0,$O45*(1+(-S$22*0.232)),$O45/(1+(S$22*0.232)))))))</f>
        <v>#N/A</v>
      </c>
      <c r="T45" s="1138" t="e">
        <f>IF(T$21=0,0,IF('Regulação de polinização'!I139&gt;0,'Regulação de polinização'!I139,TRUNC(IF(T$22=0,$O45,IF(T$22&lt;0,$O45*(1+(-T$22*0.232)),$O45/(1+(T$22*0.232)))))))</f>
        <v>#N/A</v>
      </c>
      <c r="U45" s="1138" t="e">
        <f>IF(U$21=0,0,IF('Regulação de polinização'!J139&gt;0,'Regulação de polinização'!J139,TRUNC(IF(U$22=0,$O45,IF(U$22&lt;0,$O45*(1+(-U$22*0.232)),$O45/(1+(U$22*0.232)))))))</f>
        <v>#N/A</v>
      </c>
      <c r="V45" s="1138" t="e">
        <f>IF(V$21=0,0,IF('Regulação de polinização'!K139&gt;0,'Regulação de polinização'!K139,TRUNC(IF(V$22=0,$O45,IF(V$22&lt;0,$O45*(1+(-V$22*0.232)),$O45/(1+(V$22*0.232)))))))</f>
        <v>#N/A</v>
      </c>
      <c r="W45" s="1138" t="e">
        <f>IF(W$21=0,0,IF('Regulação de polinização'!L139&gt;0,'Regulação de polinização'!L139,TRUNC(IF(W$22=0,$O45,IF(W$22&lt;0,$O45*(1+(-W$22*0.232)),$O45/(1+(W$22*0.232)))))))</f>
        <v>#N/A</v>
      </c>
      <c r="X45" s="1138" t="e">
        <f>IF(X$21=0,0,IF('Regulação de polinização'!M139&gt;0,'Regulação de polinização'!M139,TRUNC(IF(X$22=0,$O45,IF(X$22&lt;0,$O45*(1+(-X$22*0.232)),$O45/(1+(X$22*0.232)))))))</f>
        <v>#N/A</v>
      </c>
      <c r="Y45" s="1138" t="e">
        <f>IF(Y$21=0,0,IF('Regulação de polinização'!N139&gt;0,'Regulação de polinização'!N139,TRUNC(IF(Y$22=0,$O45,IF(Y$22&lt;0,$O45*(1+(-Y$22*0.232)),$O45/(1+(Y$22*0.232)))))))</f>
        <v>#N/A</v>
      </c>
      <c r="Z45" s="1138" t="e">
        <f>IF(Z$21=0,0,IF('Regulação de polinização'!O139&gt;0,'Regulação de polinização'!O139,TRUNC(IF(Z$22=0,$O45,IF(Z$22&lt;0,$O45*(1+(-Z$22*0.232)),$O45/(1+(Z$22*0.232)))))))</f>
        <v>#N/A</v>
      </c>
      <c r="AA45" s="1128" t="e">
        <f>IF('Regulação de polinização'!P139&gt;0,'Regulação de polinização'!P139,10^(-1.363+3.366*LOG10('Regulação de polinização'!Q139)))</f>
        <v>#NUM!</v>
      </c>
      <c r="AB45" s="769"/>
      <c r="AC45" s="769"/>
      <c r="AD45" s="781" t="s">
        <v>818</v>
      </c>
      <c r="AE45" s="776" t="s">
        <v>762</v>
      </c>
      <c r="AF45" s="777">
        <v>1.2</v>
      </c>
      <c r="AG45" s="778">
        <v>0.1</v>
      </c>
      <c r="AH45" s="782">
        <v>1</v>
      </c>
      <c r="AI45" s="770"/>
      <c r="AJ45" s="770"/>
    </row>
    <row r="46" spans="2:36">
      <c r="B46" s="764" t="s">
        <v>1272</v>
      </c>
      <c r="C46" s="765" t="s">
        <v>819</v>
      </c>
      <c r="D46" s="766">
        <v>1</v>
      </c>
      <c r="E46" s="767">
        <v>7</v>
      </c>
      <c r="F46" s="767">
        <v>7.5</v>
      </c>
      <c r="G46" s="768">
        <f t="shared" si="1"/>
        <v>375000</v>
      </c>
      <c r="H46" s="767">
        <v>6</v>
      </c>
      <c r="I46" s="767" t="s">
        <v>655</v>
      </c>
      <c r="J46" s="767" t="s">
        <v>655</v>
      </c>
      <c r="K46" s="218"/>
      <c r="N46" s="1121">
        <f>'Regulação de polinização'!C140</f>
        <v>0</v>
      </c>
      <c r="O46" s="1138">
        <f>'Regulação de polinização'!D140</f>
        <v>0</v>
      </c>
      <c r="P46" s="1138" t="e">
        <f>IF(P$21=0,0,IF('Regulação de polinização'!E140&gt;0,'Regulação de polinização'!E140,TRUNC(IF(P$22=0,$O46,IF(P$22&lt;0,$O46*(1+(-P$22*0.232)),$O46/(1+(P$22*0.232)))))))</f>
        <v>#N/A</v>
      </c>
      <c r="Q46" s="1138" t="e">
        <f>IF(Q$21=0,0,IF('Regulação de polinização'!F140&gt;0,'Regulação de polinização'!F140,TRUNC(IF(Q$22=0,$O46,IF(Q$22&lt;0,$O46*(1+(-Q$22*0.232)),$O46/(1+(Q$22*0.232)))))))</f>
        <v>#N/A</v>
      </c>
      <c r="R46" s="1138" t="e">
        <f>IF(R$21=0,0,IF('Regulação de polinização'!G140&gt;0,'Regulação de polinização'!G140,TRUNC(IF(R$22=0,$O46,IF(R$22&lt;0,$O46*(1+(-R$22*0.232)),$O46/(1+(R$22*0.232)))))))</f>
        <v>#N/A</v>
      </c>
      <c r="S46" s="1138" t="e">
        <f>IF(S$21=0,0,IF('Regulação de polinização'!H140&gt;0,'Regulação de polinização'!H140,TRUNC(IF(S$22=0,$O46,IF(S$22&lt;0,$O46*(1+(-S$22*0.232)),$O46/(1+(S$22*0.232)))))))</f>
        <v>#N/A</v>
      </c>
      <c r="T46" s="1138" t="e">
        <f>IF(T$21=0,0,IF('Regulação de polinização'!I140&gt;0,'Regulação de polinização'!I140,TRUNC(IF(T$22=0,$O46,IF(T$22&lt;0,$O46*(1+(-T$22*0.232)),$O46/(1+(T$22*0.232)))))))</f>
        <v>#N/A</v>
      </c>
      <c r="U46" s="1138" t="e">
        <f>IF(U$21=0,0,IF('Regulação de polinização'!J140&gt;0,'Regulação de polinização'!J140,TRUNC(IF(U$22=0,$O46,IF(U$22&lt;0,$O46*(1+(-U$22*0.232)),$O46/(1+(U$22*0.232)))))))</f>
        <v>#N/A</v>
      </c>
      <c r="V46" s="1138" t="e">
        <f>IF(V$21=0,0,IF('Regulação de polinização'!K140&gt;0,'Regulação de polinização'!K140,TRUNC(IF(V$22=0,$O46,IF(V$22&lt;0,$O46*(1+(-V$22*0.232)),$O46/(1+(V$22*0.232)))))))</f>
        <v>#N/A</v>
      </c>
      <c r="W46" s="1138" t="e">
        <f>IF(W$21=0,0,IF('Regulação de polinização'!L140&gt;0,'Regulação de polinização'!L140,TRUNC(IF(W$22=0,$O46,IF(W$22&lt;0,$O46*(1+(-W$22*0.232)),$O46/(1+(W$22*0.232)))))))</f>
        <v>#N/A</v>
      </c>
      <c r="X46" s="1138" t="e">
        <f>IF(X$21=0,0,IF('Regulação de polinização'!M140&gt;0,'Regulação de polinização'!M140,TRUNC(IF(X$22=0,$O46,IF(X$22&lt;0,$O46*(1+(-X$22*0.232)),$O46/(1+(X$22*0.232)))))))</f>
        <v>#N/A</v>
      </c>
      <c r="Y46" s="1138" t="e">
        <f>IF(Y$21=0,0,IF('Regulação de polinização'!N140&gt;0,'Regulação de polinização'!N140,TRUNC(IF(Y$22=0,$O46,IF(Y$22&lt;0,$O46*(1+(-Y$22*0.232)),$O46/(1+(Y$22*0.232)))))))</f>
        <v>#N/A</v>
      </c>
      <c r="Z46" s="1138" t="e">
        <f>IF(Z$21=0,0,IF('Regulação de polinização'!O140&gt;0,'Regulação de polinização'!O140,TRUNC(IF(Z$22=0,$O46,IF(Z$22&lt;0,$O46*(1+(-Z$22*0.232)),$O46/(1+(Z$22*0.232)))))))</f>
        <v>#N/A</v>
      </c>
      <c r="AA46" s="1128" t="e">
        <f>IF('Regulação de polinização'!P140&gt;0,'Regulação de polinização'!P140,10^(-1.363+3.366*LOG10('Regulação de polinização'!Q140)))</f>
        <v>#NUM!</v>
      </c>
      <c r="AB46" s="769"/>
      <c r="AC46" s="769"/>
      <c r="AD46" s="775" t="s">
        <v>820</v>
      </c>
      <c r="AE46" s="776" t="s">
        <v>800</v>
      </c>
      <c r="AF46" s="777">
        <v>2.4</v>
      </c>
      <c r="AG46" s="778">
        <v>0.8</v>
      </c>
      <c r="AH46" s="776">
        <v>1</v>
      </c>
      <c r="AI46" s="770"/>
      <c r="AJ46" s="770"/>
    </row>
    <row r="47" spans="2:36">
      <c r="B47" s="764" t="s">
        <v>821</v>
      </c>
      <c r="C47" s="765" t="s">
        <v>822</v>
      </c>
      <c r="D47" s="766" t="s">
        <v>655</v>
      </c>
      <c r="E47" s="767" t="s">
        <v>655</v>
      </c>
      <c r="F47" s="767">
        <v>7.5</v>
      </c>
      <c r="G47" s="768">
        <f t="shared" si="1"/>
        <v>375000</v>
      </c>
      <c r="H47" s="767">
        <v>6</v>
      </c>
      <c r="I47" s="767" t="s">
        <v>655</v>
      </c>
      <c r="J47" s="767" t="s">
        <v>655</v>
      </c>
      <c r="K47" s="218"/>
      <c r="N47" s="1121">
        <f>'Regulação de polinização'!C141</f>
        <v>0</v>
      </c>
      <c r="O47" s="1138">
        <f>'Regulação de polinização'!D141</f>
        <v>0</v>
      </c>
      <c r="P47" s="1138" t="e">
        <f>IF(P$21=0,0,IF('Regulação de polinização'!E141&gt;0,'Regulação de polinização'!E141,TRUNC(IF(P$22=0,$O47,IF(P$22&lt;0,$O47*(1+(-P$22*0.232)),$O47/(1+(P$22*0.232)))))))</f>
        <v>#N/A</v>
      </c>
      <c r="Q47" s="1138" t="e">
        <f>IF(Q$21=0,0,IF('Regulação de polinização'!F141&gt;0,'Regulação de polinização'!F141,TRUNC(IF(Q$22=0,$O47,IF(Q$22&lt;0,$O47*(1+(-Q$22*0.232)),$O47/(1+(Q$22*0.232)))))))</f>
        <v>#N/A</v>
      </c>
      <c r="R47" s="1138" t="e">
        <f>IF(R$21=0,0,IF('Regulação de polinização'!G141&gt;0,'Regulação de polinização'!G141,TRUNC(IF(R$22=0,$O47,IF(R$22&lt;0,$O47*(1+(-R$22*0.232)),$O47/(1+(R$22*0.232)))))))</f>
        <v>#N/A</v>
      </c>
      <c r="S47" s="1138" t="e">
        <f>IF(S$21=0,0,IF('Regulação de polinização'!H141&gt;0,'Regulação de polinização'!H141,TRUNC(IF(S$22=0,$O47,IF(S$22&lt;0,$O47*(1+(-S$22*0.232)),$O47/(1+(S$22*0.232)))))))</f>
        <v>#N/A</v>
      </c>
      <c r="T47" s="1138" t="e">
        <f>IF(T$21=0,0,IF('Regulação de polinização'!I141&gt;0,'Regulação de polinização'!I141,TRUNC(IF(T$22=0,$O47,IF(T$22&lt;0,$O47*(1+(-T$22*0.232)),$O47/(1+(T$22*0.232)))))))</f>
        <v>#N/A</v>
      </c>
      <c r="U47" s="1138" t="e">
        <f>IF(U$21=0,0,IF('Regulação de polinização'!J141&gt;0,'Regulação de polinização'!J141,TRUNC(IF(U$22=0,$O47,IF(U$22&lt;0,$O47*(1+(-U$22*0.232)),$O47/(1+(U$22*0.232)))))))</f>
        <v>#N/A</v>
      </c>
      <c r="V47" s="1138" t="e">
        <f>IF(V$21=0,0,IF('Regulação de polinização'!K141&gt;0,'Regulação de polinização'!K141,TRUNC(IF(V$22=0,$O47,IF(V$22&lt;0,$O47*(1+(-V$22*0.232)),$O47/(1+(V$22*0.232)))))))</f>
        <v>#N/A</v>
      </c>
      <c r="W47" s="1138" t="e">
        <f>IF(W$21=0,0,IF('Regulação de polinização'!L141&gt;0,'Regulação de polinização'!L141,TRUNC(IF(W$22=0,$O47,IF(W$22&lt;0,$O47*(1+(-W$22*0.232)),$O47/(1+(W$22*0.232)))))))</f>
        <v>#N/A</v>
      </c>
      <c r="X47" s="1138" t="e">
        <f>IF(X$21=0,0,IF('Regulação de polinização'!M141&gt;0,'Regulação de polinização'!M141,TRUNC(IF(X$22=0,$O47,IF(X$22&lt;0,$O47*(1+(-X$22*0.232)),$O47/(1+(X$22*0.232)))))))</f>
        <v>#N/A</v>
      </c>
      <c r="Y47" s="1138" t="e">
        <f>IF(Y$21=0,0,IF('Regulação de polinização'!N141&gt;0,'Regulação de polinização'!N141,TRUNC(IF(Y$22=0,$O47,IF(Y$22&lt;0,$O47*(1+(-Y$22*0.232)),$O47/(1+(Y$22*0.232)))))))</f>
        <v>#N/A</v>
      </c>
      <c r="Z47" s="1138" t="e">
        <f>IF(Z$21=0,0,IF('Regulação de polinização'!O141&gt;0,'Regulação de polinização'!O141,TRUNC(IF(Z$22=0,$O47,IF(Z$22&lt;0,$O47*(1+(-Z$22*0.232)),$O47/(1+(Z$22*0.232)))))))</f>
        <v>#N/A</v>
      </c>
      <c r="AA47" s="1128" t="e">
        <f>IF('Regulação de polinização'!P141&gt;0,'Regulação de polinização'!P141,10^(-1.363+3.366*LOG10('Regulação de polinização'!Q141)))</f>
        <v>#NUM!</v>
      </c>
      <c r="AB47" s="769"/>
      <c r="AC47" s="769"/>
      <c r="AD47" s="775" t="s">
        <v>823</v>
      </c>
      <c r="AE47" s="776" t="s">
        <v>824</v>
      </c>
      <c r="AF47" s="777">
        <v>1.7</v>
      </c>
      <c r="AG47" s="778">
        <v>0.2</v>
      </c>
      <c r="AH47" s="776">
        <v>1</v>
      </c>
      <c r="AI47" s="770"/>
      <c r="AJ47" s="770"/>
    </row>
    <row r="48" spans="2:36">
      <c r="B48" s="764" t="s">
        <v>825</v>
      </c>
      <c r="C48" s="765" t="s">
        <v>826</v>
      </c>
      <c r="D48" s="766">
        <v>0.3</v>
      </c>
      <c r="E48" s="767">
        <v>7</v>
      </c>
      <c r="F48" s="767">
        <v>7.5</v>
      </c>
      <c r="G48" s="768">
        <f t="shared" si="1"/>
        <v>375000</v>
      </c>
      <c r="H48" s="767">
        <v>6</v>
      </c>
      <c r="I48" s="767" t="s">
        <v>655</v>
      </c>
      <c r="J48" s="767" t="s">
        <v>655</v>
      </c>
      <c r="K48" s="218"/>
      <c r="N48" s="1121">
        <f>'Regulação de polinização'!C142</f>
        <v>0</v>
      </c>
      <c r="O48" s="1138">
        <f>'Regulação de polinização'!D142</f>
        <v>0</v>
      </c>
      <c r="P48" s="1138" t="e">
        <f>IF(P$21=0,0,IF('Regulação de polinização'!E142&gt;0,'Regulação de polinização'!E142,TRUNC(IF(P$22=0,$O48,IF(P$22&lt;0,$O48*(1+(-P$22*0.232)),$O48/(1+(P$22*0.232)))))))</f>
        <v>#N/A</v>
      </c>
      <c r="Q48" s="1138" t="e">
        <f>IF(Q$21=0,0,IF('Regulação de polinização'!F142&gt;0,'Regulação de polinização'!F142,TRUNC(IF(Q$22=0,$O48,IF(Q$22&lt;0,$O48*(1+(-Q$22*0.232)),$O48/(1+(Q$22*0.232)))))))</f>
        <v>#N/A</v>
      </c>
      <c r="R48" s="1138" t="e">
        <f>IF(R$21=0,0,IF('Regulação de polinização'!G142&gt;0,'Regulação de polinização'!G142,TRUNC(IF(R$22=0,$O48,IF(R$22&lt;0,$O48*(1+(-R$22*0.232)),$O48/(1+(R$22*0.232)))))))</f>
        <v>#N/A</v>
      </c>
      <c r="S48" s="1138" t="e">
        <f>IF(S$21=0,0,IF('Regulação de polinização'!H142&gt;0,'Regulação de polinização'!H142,TRUNC(IF(S$22=0,$O48,IF(S$22&lt;0,$O48*(1+(-S$22*0.232)),$O48/(1+(S$22*0.232)))))))</f>
        <v>#N/A</v>
      </c>
      <c r="T48" s="1138" t="e">
        <f>IF(T$21=0,0,IF('Regulação de polinização'!I142&gt;0,'Regulação de polinização'!I142,TRUNC(IF(T$22=0,$O48,IF(T$22&lt;0,$O48*(1+(-T$22*0.232)),$O48/(1+(T$22*0.232)))))))</f>
        <v>#N/A</v>
      </c>
      <c r="U48" s="1138" t="e">
        <f>IF(U$21=0,0,IF('Regulação de polinização'!J142&gt;0,'Regulação de polinização'!J142,TRUNC(IF(U$22=0,$O48,IF(U$22&lt;0,$O48*(1+(-U$22*0.232)),$O48/(1+(U$22*0.232)))))))</f>
        <v>#N/A</v>
      </c>
      <c r="V48" s="1138" t="e">
        <f>IF(V$21=0,0,IF('Regulação de polinização'!K142&gt;0,'Regulação de polinização'!K142,TRUNC(IF(V$22=0,$O48,IF(V$22&lt;0,$O48*(1+(-V$22*0.232)),$O48/(1+(V$22*0.232)))))))</f>
        <v>#N/A</v>
      </c>
      <c r="W48" s="1138" t="e">
        <f>IF(W$21=0,0,IF('Regulação de polinização'!L142&gt;0,'Regulação de polinização'!L142,TRUNC(IF(W$22=0,$O48,IF(W$22&lt;0,$O48*(1+(-W$22*0.232)),$O48/(1+(W$22*0.232)))))))</f>
        <v>#N/A</v>
      </c>
      <c r="X48" s="1138" t="e">
        <f>IF(X$21=0,0,IF('Regulação de polinização'!M142&gt;0,'Regulação de polinização'!M142,TRUNC(IF(X$22=0,$O48,IF(X$22&lt;0,$O48*(1+(-X$22*0.232)),$O48/(1+(X$22*0.232)))))))</f>
        <v>#N/A</v>
      </c>
      <c r="Y48" s="1138" t="e">
        <f>IF(Y$21=0,0,IF('Regulação de polinização'!N142&gt;0,'Regulação de polinização'!N142,TRUNC(IF(Y$22=0,$O48,IF(Y$22&lt;0,$O48*(1+(-Y$22*0.232)),$O48/(1+(Y$22*0.232)))))))</f>
        <v>#N/A</v>
      </c>
      <c r="Z48" s="1138" t="e">
        <f>IF(Z$21=0,0,IF('Regulação de polinização'!O142&gt;0,'Regulação de polinização'!O142,TRUNC(IF(Z$22=0,$O48,IF(Z$22&lt;0,$O48*(1+(-Z$22*0.232)),$O48/(1+(Z$22*0.232)))))))</f>
        <v>#N/A</v>
      </c>
      <c r="AA48" s="1128" t="e">
        <f>IF('Regulação de polinização'!P142&gt;0,'Regulação de polinização'!P142,10^(-1.363+3.366*LOG10('Regulação de polinização'!Q142)))</f>
        <v>#NUM!</v>
      </c>
      <c r="AB48" s="769"/>
      <c r="AC48" s="769"/>
      <c r="AD48" s="775" t="s">
        <v>827</v>
      </c>
      <c r="AE48" s="776" t="s">
        <v>824</v>
      </c>
      <c r="AF48" s="777">
        <v>1.1000000000000001</v>
      </c>
      <c r="AG48" s="778">
        <v>0.06</v>
      </c>
      <c r="AH48" s="776">
        <v>1</v>
      </c>
      <c r="AI48" s="770"/>
      <c r="AJ48" s="770"/>
    </row>
    <row r="49" spans="2:36">
      <c r="B49" s="764" t="s">
        <v>828</v>
      </c>
      <c r="C49" s="765" t="s">
        <v>829</v>
      </c>
      <c r="D49" s="766">
        <v>0.9</v>
      </c>
      <c r="E49" s="767">
        <v>7</v>
      </c>
      <c r="F49" s="767">
        <v>5</v>
      </c>
      <c r="G49" s="768">
        <f t="shared" si="1"/>
        <v>250000</v>
      </c>
      <c r="H49" s="767">
        <v>6</v>
      </c>
      <c r="I49" s="767" t="s">
        <v>655</v>
      </c>
      <c r="J49" s="767" t="s">
        <v>655</v>
      </c>
      <c r="K49" s="218"/>
      <c r="N49" s="1121">
        <f>'Regulação de polinização'!C143</f>
        <v>0</v>
      </c>
      <c r="O49" s="1138">
        <f>'Regulação de polinização'!D143</f>
        <v>0</v>
      </c>
      <c r="P49" s="1138" t="e">
        <f>IF(P$21=0,0,IF('Regulação de polinização'!E143&gt;0,'Regulação de polinização'!E143,TRUNC(IF(P$22=0,$O49,IF(P$22&lt;0,$O49*(1+(-P$22*0.232)),$O49/(1+(P$22*0.232)))))))</f>
        <v>#N/A</v>
      </c>
      <c r="Q49" s="1138" t="e">
        <f>IF(Q$21=0,0,IF('Regulação de polinização'!F143&gt;0,'Regulação de polinização'!F143,TRUNC(IF(Q$22=0,$O49,IF(Q$22&lt;0,$O49*(1+(-Q$22*0.232)),$O49/(1+(Q$22*0.232)))))))</f>
        <v>#N/A</v>
      </c>
      <c r="R49" s="1138" t="e">
        <f>IF(R$21=0,0,IF('Regulação de polinização'!G143&gt;0,'Regulação de polinização'!G143,TRUNC(IF(R$22=0,$O49,IF(R$22&lt;0,$O49*(1+(-R$22*0.232)),$O49/(1+(R$22*0.232)))))))</f>
        <v>#N/A</v>
      </c>
      <c r="S49" s="1138" t="e">
        <f>IF(S$21=0,0,IF('Regulação de polinização'!H143&gt;0,'Regulação de polinização'!H143,TRUNC(IF(S$22=0,$O49,IF(S$22&lt;0,$O49*(1+(-S$22*0.232)),$O49/(1+(S$22*0.232)))))))</f>
        <v>#N/A</v>
      </c>
      <c r="T49" s="1138" t="e">
        <f>IF(T$21=0,0,IF('Regulação de polinização'!I143&gt;0,'Regulação de polinização'!I143,TRUNC(IF(T$22=0,$O49,IF(T$22&lt;0,$O49*(1+(-T$22*0.232)),$O49/(1+(T$22*0.232)))))))</f>
        <v>#N/A</v>
      </c>
      <c r="U49" s="1138" t="e">
        <f>IF(U$21=0,0,IF('Regulação de polinização'!J143&gt;0,'Regulação de polinização'!J143,TRUNC(IF(U$22=0,$O49,IF(U$22&lt;0,$O49*(1+(-U$22*0.232)),$O49/(1+(U$22*0.232)))))))</f>
        <v>#N/A</v>
      </c>
      <c r="V49" s="1138" t="e">
        <f>IF(V$21=0,0,IF('Regulação de polinização'!K143&gt;0,'Regulação de polinização'!K143,TRUNC(IF(V$22=0,$O49,IF(V$22&lt;0,$O49*(1+(-V$22*0.232)),$O49/(1+(V$22*0.232)))))))</f>
        <v>#N/A</v>
      </c>
      <c r="W49" s="1138" t="e">
        <f>IF(W$21=0,0,IF('Regulação de polinização'!L143&gt;0,'Regulação de polinização'!L143,TRUNC(IF(W$22=0,$O49,IF(W$22&lt;0,$O49*(1+(-W$22*0.232)),$O49/(1+(W$22*0.232)))))))</f>
        <v>#N/A</v>
      </c>
      <c r="X49" s="1138" t="e">
        <f>IF(X$21=0,0,IF('Regulação de polinização'!M143&gt;0,'Regulação de polinização'!M143,TRUNC(IF(X$22=0,$O49,IF(X$22&lt;0,$O49*(1+(-X$22*0.232)),$O49/(1+(X$22*0.232)))))))</f>
        <v>#N/A</v>
      </c>
      <c r="Y49" s="1138" t="e">
        <f>IF(Y$21=0,0,IF('Regulação de polinização'!N143&gt;0,'Regulação de polinização'!N143,TRUNC(IF(Y$22=0,$O49,IF(Y$22&lt;0,$O49*(1+(-Y$22*0.232)),$O49/(1+(Y$22*0.232)))))))</f>
        <v>#N/A</v>
      </c>
      <c r="Z49" s="1138" t="e">
        <f>IF(Z$21=0,0,IF('Regulação de polinização'!O143&gt;0,'Regulação de polinização'!O143,TRUNC(IF(Z$22=0,$O49,IF(Z$22&lt;0,$O49*(1+(-Z$22*0.232)),$O49/(1+(Z$22*0.232)))))))</f>
        <v>#N/A</v>
      </c>
      <c r="AA49" s="1128" t="e">
        <f>IF('Regulação de polinização'!P143&gt;0,'Regulação de polinização'!P143,10^(-1.363+3.366*LOG10('Regulação de polinização'!Q143)))</f>
        <v>#NUM!</v>
      </c>
      <c r="AB49" s="769"/>
      <c r="AC49" s="769"/>
      <c r="AD49" s="781" t="s">
        <v>830</v>
      </c>
      <c r="AE49" s="776" t="s">
        <v>831</v>
      </c>
      <c r="AF49" s="777">
        <v>1.2</v>
      </c>
      <c r="AG49" s="778">
        <v>0.2</v>
      </c>
      <c r="AH49" s="782">
        <v>1</v>
      </c>
      <c r="AI49" s="770"/>
      <c r="AJ49" s="770"/>
    </row>
    <row r="50" spans="2:36">
      <c r="B50" s="764" t="s">
        <v>832</v>
      </c>
      <c r="C50" s="765" t="s">
        <v>833</v>
      </c>
      <c r="D50" s="766">
        <v>0.3</v>
      </c>
      <c r="E50" s="767">
        <v>7</v>
      </c>
      <c r="F50" s="767">
        <v>2.5</v>
      </c>
      <c r="G50" s="768">
        <f t="shared" si="1"/>
        <v>125000</v>
      </c>
      <c r="H50" s="767">
        <v>7</v>
      </c>
      <c r="I50" s="767" t="s">
        <v>655</v>
      </c>
      <c r="J50" s="767" t="s">
        <v>655</v>
      </c>
      <c r="K50" s="218"/>
      <c r="N50" s="1121">
        <f>'Regulação de polinização'!C144</f>
        <v>0</v>
      </c>
      <c r="O50" s="1138">
        <f>'Regulação de polinização'!D144</f>
        <v>0</v>
      </c>
      <c r="P50" s="1138" t="e">
        <f>IF(P$21=0,0,IF('Regulação de polinização'!E144&gt;0,'Regulação de polinização'!E144,TRUNC(IF(P$22=0,$O50,IF(P$22&lt;0,$O50*(1+(-P$22*0.232)),$O50/(1+(P$22*0.232)))))))</f>
        <v>#N/A</v>
      </c>
      <c r="Q50" s="1138" t="e">
        <f>IF(Q$21=0,0,IF('Regulação de polinização'!F144&gt;0,'Regulação de polinização'!F144,TRUNC(IF(Q$22=0,$O50,IF(Q$22&lt;0,$O50*(1+(-Q$22*0.232)),$O50/(1+(Q$22*0.232)))))))</f>
        <v>#N/A</v>
      </c>
      <c r="R50" s="1138" t="e">
        <f>IF(R$21=0,0,IF('Regulação de polinização'!G144&gt;0,'Regulação de polinização'!G144,TRUNC(IF(R$22=0,$O50,IF(R$22&lt;0,$O50*(1+(-R$22*0.232)),$O50/(1+(R$22*0.232)))))))</f>
        <v>#N/A</v>
      </c>
      <c r="S50" s="1138" t="e">
        <f>IF(S$21=0,0,IF('Regulação de polinização'!H144&gt;0,'Regulação de polinização'!H144,TRUNC(IF(S$22=0,$O50,IF(S$22&lt;0,$O50*(1+(-S$22*0.232)),$O50/(1+(S$22*0.232)))))))</f>
        <v>#N/A</v>
      </c>
      <c r="T50" s="1138" t="e">
        <f>IF(T$21=0,0,IF('Regulação de polinização'!I144&gt;0,'Regulação de polinização'!I144,TRUNC(IF(T$22=0,$O50,IF(T$22&lt;0,$O50*(1+(-T$22*0.232)),$O50/(1+(T$22*0.232)))))))</f>
        <v>#N/A</v>
      </c>
      <c r="U50" s="1138" t="e">
        <f>IF(U$21=0,0,IF('Regulação de polinização'!J144&gt;0,'Regulação de polinização'!J144,TRUNC(IF(U$22=0,$O50,IF(U$22&lt;0,$O50*(1+(-U$22*0.232)),$O50/(1+(U$22*0.232)))))))</f>
        <v>#N/A</v>
      </c>
      <c r="V50" s="1138" t="e">
        <f>IF(V$21=0,0,IF('Regulação de polinização'!K144&gt;0,'Regulação de polinização'!K144,TRUNC(IF(V$22=0,$O50,IF(V$22&lt;0,$O50*(1+(-V$22*0.232)),$O50/(1+(V$22*0.232)))))))</f>
        <v>#N/A</v>
      </c>
      <c r="W50" s="1138" t="e">
        <f>IF(W$21=0,0,IF('Regulação de polinização'!L144&gt;0,'Regulação de polinização'!L144,TRUNC(IF(W$22=0,$O50,IF(W$22&lt;0,$O50*(1+(-W$22*0.232)),$O50/(1+(W$22*0.232)))))))</f>
        <v>#N/A</v>
      </c>
      <c r="X50" s="1138" t="e">
        <f>IF(X$21=0,0,IF('Regulação de polinização'!M144&gt;0,'Regulação de polinização'!M144,TRUNC(IF(X$22=0,$O50,IF(X$22&lt;0,$O50*(1+(-X$22*0.232)),$O50/(1+(X$22*0.232)))))))</f>
        <v>#N/A</v>
      </c>
      <c r="Y50" s="1138" t="e">
        <f>IF(Y$21=0,0,IF('Regulação de polinização'!N144&gt;0,'Regulação de polinização'!N144,TRUNC(IF(Y$22=0,$O50,IF(Y$22&lt;0,$O50*(1+(-Y$22*0.232)),$O50/(1+(Y$22*0.232)))))))</f>
        <v>#N/A</v>
      </c>
      <c r="Z50" s="1138" t="e">
        <f>IF(Z$21=0,0,IF('Regulação de polinização'!O144&gt;0,'Regulação de polinização'!O144,TRUNC(IF(Z$22=0,$O50,IF(Z$22&lt;0,$O50*(1+(-Z$22*0.232)),$O50/(1+(Z$22*0.232)))))))</f>
        <v>#N/A</v>
      </c>
      <c r="AA50" s="1128" t="e">
        <f>IF('Regulação de polinização'!P144&gt;0,'Regulação de polinização'!P144,10^(-1.363+3.366*LOG10('Regulação de polinização'!Q144)))</f>
        <v>#NUM!</v>
      </c>
      <c r="AB50" s="769"/>
      <c r="AC50" s="769"/>
      <c r="AD50" s="775" t="s">
        <v>834</v>
      </c>
      <c r="AE50" s="776" t="s">
        <v>744</v>
      </c>
      <c r="AF50" s="777">
        <v>2.2999999999999998</v>
      </c>
      <c r="AG50" s="778">
        <v>0.7</v>
      </c>
      <c r="AH50" s="776">
        <v>1</v>
      </c>
      <c r="AI50" s="770"/>
      <c r="AJ50" s="770"/>
    </row>
    <row r="51" spans="2:36">
      <c r="B51" s="764" t="s">
        <v>835</v>
      </c>
      <c r="C51" s="765" t="s">
        <v>836</v>
      </c>
      <c r="D51" s="766">
        <v>0.09</v>
      </c>
      <c r="E51" s="767">
        <v>7</v>
      </c>
      <c r="F51" s="767">
        <v>7.5</v>
      </c>
      <c r="G51" s="768">
        <f t="shared" si="1"/>
        <v>375000</v>
      </c>
      <c r="H51" s="767">
        <v>7</v>
      </c>
      <c r="I51" s="767" t="s">
        <v>655</v>
      </c>
      <c r="J51" s="767" t="s">
        <v>655</v>
      </c>
      <c r="K51" s="218"/>
      <c r="N51" s="1122">
        <f>'Regulação de polinização'!C145</f>
        <v>0</v>
      </c>
      <c r="O51" s="1122">
        <f>'Regulação de polinização'!D145</f>
        <v>0</v>
      </c>
      <c r="P51" s="1122" t="e">
        <f>IF(P$21=0,0,IF('Regulação de polinização'!E145&gt;0,'Regulação de polinização'!E145,TRUNC(IF(P$22=0,$O51,IF(P$22&lt;0,$O51*(1+(-P$22*0.232)),$O51/(1+(P$22*0.232)))))))</f>
        <v>#N/A</v>
      </c>
      <c r="Q51" s="1122" t="e">
        <f>IF(Q$21=0,0,IF('Regulação de polinização'!F145&gt;0,'Regulação de polinização'!F145,TRUNC(IF(Q$22=0,$O51,IF(Q$22&lt;0,$O51*(1+(-Q$22*0.232)),$O51/(1+(Q$22*0.232)))))))</f>
        <v>#N/A</v>
      </c>
      <c r="R51" s="1122" t="e">
        <f>IF(R$21=0,0,IF('Regulação de polinização'!G145&gt;0,'Regulação de polinização'!G145,TRUNC(IF(R$22=0,$O51,IF(R$22&lt;0,$O51*(1+(-R$22*0.232)),$O51/(1+(R$22*0.232)))))))</f>
        <v>#N/A</v>
      </c>
      <c r="S51" s="1122" t="e">
        <f>IF(S$21=0,0,IF('Regulação de polinização'!H145&gt;0,'Regulação de polinização'!H145,TRUNC(IF(S$22=0,$O51,IF(S$22&lt;0,$O51*(1+(-S$22*0.232)),$O51/(1+(S$22*0.232)))))))</f>
        <v>#N/A</v>
      </c>
      <c r="T51" s="1122" t="e">
        <f>IF(T$21=0,0,IF('Regulação de polinização'!I145&gt;0,'Regulação de polinização'!I145,TRUNC(IF(T$22=0,$O51,IF(T$22&lt;0,$O51*(1+(-T$22*0.232)),$O51/(1+(T$22*0.232)))))))</f>
        <v>#N/A</v>
      </c>
      <c r="U51" s="1122" t="e">
        <f>IF(U$21=0,0,IF('Regulação de polinização'!J145&gt;0,'Regulação de polinização'!J145,TRUNC(IF(U$22=0,$O51,IF(U$22&lt;0,$O51*(1+(-U$22*0.232)),$O51/(1+(U$22*0.232)))))))</f>
        <v>#N/A</v>
      </c>
      <c r="V51" s="1122" t="e">
        <f>IF(V$21=0,0,IF('Regulação de polinização'!K145&gt;0,'Regulação de polinização'!K145,TRUNC(IF(V$22=0,$O51,IF(V$22&lt;0,$O51*(1+(-V$22*0.232)),$O51/(1+(V$22*0.232)))))))</f>
        <v>#N/A</v>
      </c>
      <c r="W51" s="1122" t="e">
        <f>IF(W$21=0,0,IF('Regulação de polinização'!L145&gt;0,'Regulação de polinização'!L145,TRUNC(IF(W$22=0,$O51,IF(W$22&lt;0,$O51*(1+(-W$22*0.232)),$O51/(1+(W$22*0.232)))))))</f>
        <v>#N/A</v>
      </c>
      <c r="X51" s="1122" t="e">
        <f>IF(X$21=0,0,IF('Regulação de polinização'!M145&gt;0,'Regulação de polinização'!M145,TRUNC(IF(X$22=0,$O51,IF(X$22&lt;0,$O51*(1+(-X$22*0.232)),$O51/(1+(X$22*0.232)))))))</f>
        <v>#N/A</v>
      </c>
      <c r="Y51" s="1122" t="e">
        <f>IF(Y$21=0,0,IF('Regulação de polinização'!N145&gt;0,'Regulação de polinização'!N145,TRUNC(IF(Y$22=0,$O51,IF(Y$22&lt;0,$O51*(1+(-Y$22*0.232)),$O51/(1+(Y$22*0.232)))))))</f>
        <v>#N/A</v>
      </c>
      <c r="Z51" s="1122" t="e">
        <f>IF(Z$21=0,0,IF('Regulação de polinização'!O145&gt;0,'Regulação de polinização'!O145,TRUNC(IF(Z$22=0,$O51,IF(Z$22&lt;0,$O51*(1+(-Z$22*0.232)),$O51/(1+(Z$22*0.232)))))))</f>
        <v>#N/A</v>
      </c>
      <c r="AA51" s="1122" t="e">
        <f>IF('Regulação de polinização'!P145&gt;0,'Regulação de polinização'!P145,10^(-1.363+3.366*LOG10('Regulação de polinização'!Q145)))</f>
        <v>#NUM!</v>
      </c>
      <c r="AB51" s="769"/>
      <c r="AC51" s="769"/>
      <c r="AD51" s="775" t="s">
        <v>837</v>
      </c>
      <c r="AE51" s="776" t="s">
        <v>800</v>
      </c>
      <c r="AF51" s="777">
        <v>2.9</v>
      </c>
      <c r="AG51" s="778">
        <v>0.6</v>
      </c>
      <c r="AH51" s="776">
        <v>1</v>
      </c>
      <c r="AI51" s="770"/>
      <c r="AJ51" s="770"/>
    </row>
    <row r="52" spans="2:36">
      <c r="B52" s="764" t="s">
        <v>838</v>
      </c>
      <c r="C52" s="765" t="s">
        <v>839</v>
      </c>
      <c r="D52" s="767" t="s">
        <v>655</v>
      </c>
      <c r="E52" s="767" t="s">
        <v>655</v>
      </c>
      <c r="F52" s="767">
        <v>7.5</v>
      </c>
      <c r="G52" s="768">
        <f t="shared" si="1"/>
        <v>375000</v>
      </c>
      <c r="H52" s="767">
        <v>7</v>
      </c>
      <c r="I52" s="767" t="s">
        <v>655</v>
      </c>
      <c r="J52" s="767" t="s">
        <v>655</v>
      </c>
      <c r="K52" s="218"/>
      <c r="N52" s="1122">
        <f>'Regulação de polinização'!C146</f>
        <v>0</v>
      </c>
      <c r="O52" s="1122">
        <f>'Regulação de polinização'!D146</f>
        <v>0</v>
      </c>
      <c r="P52" s="1122" t="e">
        <f>IF(P$21=0,0,IF('Regulação de polinização'!E146&gt;0,'Regulação de polinização'!E146,TRUNC(IF(P$22=0,$O52,IF(P$22&lt;0,$O52*(1+(-P$22*0.232)),$O52/(1+(P$22*0.232)))))))</f>
        <v>#N/A</v>
      </c>
      <c r="Q52" s="1122" t="e">
        <f>IF(Q$21=0,0,IF('Regulação de polinização'!F146&gt;0,'Regulação de polinização'!F146,TRUNC(IF(Q$22=0,$O52,IF(Q$22&lt;0,$O52*(1+(-Q$22*0.232)),$O52/(1+(Q$22*0.232)))))))</f>
        <v>#N/A</v>
      </c>
      <c r="R52" s="1122" t="e">
        <f>IF(R$21=0,0,IF('Regulação de polinização'!G146&gt;0,'Regulação de polinização'!G146,TRUNC(IF(R$22=0,$O52,IF(R$22&lt;0,$O52*(1+(-R$22*0.232)),$O52/(1+(R$22*0.232)))))))</f>
        <v>#N/A</v>
      </c>
      <c r="S52" s="1122" t="e">
        <f>IF(S$21=0,0,IF('Regulação de polinização'!H146&gt;0,'Regulação de polinização'!H146,TRUNC(IF(S$22=0,$O52,IF(S$22&lt;0,$O52*(1+(-S$22*0.232)),$O52/(1+(S$22*0.232)))))))</f>
        <v>#N/A</v>
      </c>
      <c r="T52" s="1122" t="e">
        <f>IF(T$21=0,0,IF('Regulação de polinização'!I146&gt;0,'Regulação de polinização'!I146,TRUNC(IF(T$22=0,$O52,IF(T$22&lt;0,$O52*(1+(-T$22*0.232)),$O52/(1+(T$22*0.232)))))))</f>
        <v>#N/A</v>
      </c>
      <c r="U52" s="1122" t="e">
        <f>IF(U$21=0,0,IF('Regulação de polinização'!J146&gt;0,'Regulação de polinização'!J146,TRUNC(IF(U$22=0,$O52,IF(U$22&lt;0,$O52*(1+(-U$22*0.232)),$O52/(1+(U$22*0.232)))))))</f>
        <v>#N/A</v>
      </c>
      <c r="V52" s="1122" t="e">
        <f>IF(V$21=0,0,IF('Regulação de polinização'!K146&gt;0,'Regulação de polinização'!K146,TRUNC(IF(V$22=0,$O52,IF(V$22&lt;0,$O52*(1+(-V$22*0.232)),$O52/(1+(V$22*0.232)))))))</f>
        <v>#N/A</v>
      </c>
      <c r="W52" s="1122" t="e">
        <f>IF(W$21=0,0,IF('Regulação de polinização'!L146&gt;0,'Regulação de polinização'!L146,TRUNC(IF(W$22=0,$O52,IF(W$22&lt;0,$O52*(1+(-W$22*0.232)),$O52/(1+(W$22*0.232)))))))</f>
        <v>#N/A</v>
      </c>
      <c r="X52" s="1122" t="e">
        <f>IF(X$21=0,0,IF('Regulação de polinização'!M146&gt;0,'Regulação de polinização'!M146,TRUNC(IF(X$22=0,$O52,IF(X$22&lt;0,$O52*(1+(-X$22*0.232)),$O52/(1+(X$22*0.232)))))))</f>
        <v>#N/A</v>
      </c>
      <c r="Y52" s="1122" t="e">
        <f>IF(Y$21=0,0,IF('Regulação de polinização'!N146&gt;0,'Regulação de polinização'!N146,TRUNC(IF(Y$22=0,$O52,IF(Y$22&lt;0,$O52*(1+(-Y$22*0.232)),$O52/(1+(Y$22*0.232)))))))</f>
        <v>#N/A</v>
      </c>
      <c r="Z52" s="1122" t="e">
        <f>IF(Z$21=0,0,IF('Regulação de polinização'!O146&gt;0,'Regulação de polinização'!O146,TRUNC(IF(Z$22=0,$O52,IF(Z$22&lt;0,$O52*(1+(-Z$22*0.232)),$O52/(1+(Z$22*0.232)))))))</f>
        <v>#N/A</v>
      </c>
      <c r="AA52" s="1122" t="e">
        <f>IF('Regulação de polinização'!P146&gt;0,'Regulação de polinização'!P146,10^(-1.363+3.366*LOG10('Regulação de polinização'!Q146)))</f>
        <v>#NUM!</v>
      </c>
      <c r="AB52" s="769"/>
      <c r="AC52" s="769"/>
      <c r="AD52" s="775" t="s">
        <v>840</v>
      </c>
      <c r="AE52" s="776" t="s">
        <v>800</v>
      </c>
      <c r="AF52" s="777">
        <v>2.8</v>
      </c>
      <c r="AG52" s="778">
        <v>1.3</v>
      </c>
      <c r="AH52" s="776">
        <v>1</v>
      </c>
      <c r="AI52" s="770"/>
      <c r="AJ52" s="770"/>
    </row>
    <row r="53" spans="2:36">
      <c r="B53" s="764" t="s">
        <v>841</v>
      </c>
      <c r="C53" s="765" t="s">
        <v>842</v>
      </c>
      <c r="D53" s="766">
        <v>0.22</v>
      </c>
      <c r="E53" s="767">
        <v>7</v>
      </c>
      <c r="F53" s="767">
        <v>5</v>
      </c>
      <c r="G53" s="768">
        <f t="shared" si="1"/>
        <v>250000</v>
      </c>
      <c r="H53" s="767">
        <v>7</v>
      </c>
      <c r="I53" s="767" t="s">
        <v>655</v>
      </c>
      <c r="J53" s="767" t="s">
        <v>655</v>
      </c>
      <c r="K53" s="218"/>
      <c r="N53" s="1122">
        <f>'Regulação de polinização'!C147</f>
        <v>0</v>
      </c>
      <c r="O53" s="1122">
        <f>'Regulação de polinização'!D147</f>
        <v>0</v>
      </c>
      <c r="P53" s="1122" t="e">
        <f>IF(P$21=0,0,IF('Regulação de polinização'!E147&gt;0,'Regulação de polinização'!E147,TRUNC(IF(P$22=0,$O53,IF(P$22&lt;0,$O53*(1+(-P$22*0.232)),$O53/(1+(P$22*0.232)))))))</f>
        <v>#N/A</v>
      </c>
      <c r="Q53" s="1122" t="e">
        <f>IF(Q$21=0,0,IF('Regulação de polinização'!F147&gt;0,'Regulação de polinização'!F147,TRUNC(IF(Q$22=0,$O53,IF(Q$22&lt;0,$O53*(1+(-Q$22*0.232)),$O53/(1+(Q$22*0.232)))))))</f>
        <v>#N/A</v>
      </c>
      <c r="R53" s="1122" t="e">
        <f>IF(R$21=0,0,IF('Regulação de polinização'!G147&gt;0,'Regulação de polinização'!G147,TRUNC(IF(R$22=0,$O53,IF(R$22&lt;0,$O53*(1+(-R$22*0.232)),$O53/(1+(R$22*0.232)))))))</f>
        <v>#N/A</v>
      </c>
      <c r="S53" s="1122" t="e">
        <f>IF(S$21=0,0,IF('Regulação de polinização'!H147&gt;0,'Regulação de polinização'!H147,TRUNC(IF(S$22=0,$O53,IF(S$22&lt;0,$O53*(1+(-S$22*0.232)),$O53/(1+(S$22*0.232)))))))</f>
        <v>#N/A</v>
      </c>
      <c r="T53" s="1122" t="e">
        <f>IF(T$21=0,0,IF('Regulação de polinização'!I147&gt;0,'Regulação de polinização'!I147,TRUNC(IF(T$22=0,$O53,IF(T$22&lt;0,$O53*(1+(-T$22*0.232)),$O53/(1+(T$22*0.232)))))))</f>
        <v>#N/A</v>
      </c>
      <c r="U53" s="1122" t="e">
        <f>IF(U$21=0,0,IF('Regulação de polinização'!J147&gt;0,'Regulação de polinização'!J147,TRUNC(IF(U$22=0,$O53,IF(U$22&lt;0,$O53*(1+(-U$22*0.232)),$O53/(1+(U$22*0.232)))))))</f>
        <v>#N/A</v>
      </c>
      <c r="V53" s="1122" t="e">
        <f>IF(V$21=0,0,IF('Regulação de polinização'!K147&gt;0,'Regulação de polinização'!K147,TRUNC(IF(V$22=0,$O53,IF(V$22&lt;0,$O53*(1+(-V$22*0.232)),$O53/(1+(V$22*0.232)))))))</f>
        <v>#N/A</v>
      </c>
      <c r="W53" s="1122" t="e">
        <f>IF(W$21=0,0,IF('Regulação de polinização'!L147&gt;0,'Regulação de polinização'!L147,TRUNC(IF(W$22=0,$O53,IF(W$22&lt;0,$O53*(1+(-W$22*0.232)),$O53/(1+(W$22*0.232)))))))</f>
        <v>#N/A</v>
      </c>
      <c r="X53" s="1122" t="e">
        <f>IF(X$21=0,0,IF('Regulação de polinização'!M147&gt;0,'Regulação de polinização'!M147,TRUNC(IF(X$22=0,$O53,IF(X$22&lt;0,$O53*(1+(-X$22*0.232)),$O53/(1+(X$22*0.232)))))))</f>
        <v>#N/A</v>
      </c>
      <c r="Y53" s="1122" t="e">
        <f>IF(Y$21=0,0,IF('Regulação de polinização'!N147&gt;0,'Regulação de polinização'!N147,TRUNC(IF(Y$22=0,$O53,IF(Y$22&lt;0,$O53*(1+(-Y$22*0.232)),$O53/(1+(Y$22*0.232)))))))</f>
        <v>#N/A</v>
      </c>
      <c r="Z53" s="1122" t="e">
        <f>IF(Z$21=0,0,IF('Regulação de polinização'!O147&gt;0,'Regulação de polinização'!O147,TRUNC(IF(Z$22=0,$O53,IF(Z$22&lt;0,$O53*(1+(-Z$22*0.232)),$O53/(1+(Z$22*0.232)))))))</f>
        <v>#N/A</v>
      </c>
      <c r="AA53" s="1122" t="e">
        <f>IF('Regulação de polinização'!P147&gt;0,'Regulação de polinização'!P147,10^(-1.363+3.366*LOG10('Regulação de polinização'!Q147)))</f>
        <v>#NUM!</v>
      </c>
      <c r="AB53" s="769"/>
      <c r="AC53" s="769"/>
      <c r="AD53" s="775" t="s">
        <v>843</v>
      </c>
      <c r="AE53" s="776" t="s">
        <v>800</v>
      </c>
      <c r="AF53" s="777">
        <v>1.9</v>
      </c>
      <c r="AG53" s="778">
        <v>0.3</v>
      </c>
      <c r="AH53" s="776">
        <v>1</v>
      </c>
      <c r="AI53" s="770"/>
      <c r="AJ53" s="770"/>
    </row>
    <row r="54" spans="2:36">
      <c r="B54" s="764" t="s">
        <v>844</v>
      </c>
      <c r="C54" s="765" t="s">
        <v>845</v>
      </c>
      <c r="D54" s="766">
        <v>0.75</v>
      </c>
      <c r="E54" s="767">
        <v>7</v>
      </c>
      <c r="F54" s="767">
        <v>10</v>
      </c>
      <c r="G54" s="768">
        <f t="shared" si="1"/>
        <v>500000</v>
      </c>
      <c r="H54" s="767">
        <v>7</v>
      </c>
      <c r="I54" s="767" t="s">
        <v>655</v>
      </c>
      <c r="J54" s="767" t="s">
        <v>655</v>
      </c>
      <c r="K54" s="218"/>
      <c r="N54" s="1125" t="s">
        <v>1438</v>
      </c>
      <c r="O54" s="1143">
        <f t="shared" ref="O54:Z54" si="3">SUM(O24:O53)</f>
        <v>0</v>
      </c>
      <c r="P54" s="1143" t="e">
        <f t="shared" si="3"/>
        <v>#N/A</v>
      </c>
      <c r="Q54" s="1143" t="e">
        <f t="shared" si="3"/>
        <v>#N/A</v>
      </c>
      <c r="R54" s="1143" t="e">
        <f t="shared" si="3"/>
        <v>#N/A</v>
      </c>
      <c r="S54" s="1143" t="e">
        <f t="shared" si="3"/>
        <v>#N/A</v>
      </c>
      <c r="T54" s="1143" t="e">
        <f t="shared" si="3"/>
        <v>#N/A</v>
      </c>
      <c r="U54" s="1143" t="e">
        <f t="shared" si="3"/>
        <v>#N/A</v>
      </c>
      <c r="V54" s="1143" t="e">
        <f t="shared" si="3"/>
        <v>#N/A</v>
      </c>
      <c r="W54" s="1143" t="e">
        <f t="shared" si="3"/>
        <v>#N/A</v>
      </c>
      <c r="X54" s="1143" t="e">
        <f t="shared" si="3"/>
        <v>#N/A</v>
      </c>
      <c r="Y54" s="1143" t="e">
        <f t="shared" si="3"/>
        <v>#N/A</v>
      </c>
      <c r="Z54" s="1143" t="e">
        <f t="shared" si="3"/>
        <v>#N/A</v>
      </c>
      <c r="AB54" s="769"/>
      <c r="AC54" s="769"/>
      <c r="AD54" s="775" t="s">
        <v>846</v>
      </c>
      <c r="AE54" s="776" t="s">
        <v>800</v>
      </c>
      <c r="AF54" s="777">
        <v>4.5</v>
      </c>
      <c r="AG54" s="778">
        <v>6.6</v>
      </c>
      <c r="AH54" s="776">
        <v>1</v>
      </c>
      <c r="AI54" s="770"/>
      <c r="AJ54" s="770"/>
    </row>
    <row r="55" spans="2:36">
      <c r="B55" s="764" t="s">
        <v>847</v>
      </c>
      <c r="C55" s="765" t="s">
        <v>848</v>
      </c>
      <c r="D55" s="766">
        <v>0.28999999999999998</v>
      </c>
      <c r="E55" s="767">
        <v>7</v>
      </c>
      <c r="F55" s="767" t="s">
        <v>655</v>
      </c>
      <c r="G55" s="786" t="s">
        <v>655</v>
      </c>
      <c r="H55" s="767" t="s">
        <v>655</v>
      </c>
      <c r="I55" s="767" t="s">
        <v>655</v>
      </c>
      <c r="J55" s="767" t="s">
        <v>655</v>
      </c>
      <c r="K55" s="218"/>
      <c r="AA55" s="726"/>
      <c r="AB55" s="769"/>
      <c r="AC55" s="769"/>
      <c r="AD55" s="775" t="s">
        <v>849</v>
      </c>
      <c r="AE55" s="776" t="s">
        <v>800</v>
      </c>
      <c r="AF55" s="777">
        <v>2.4</v>
      </c>
      <c r="AG55" s="778">
        <v>0.8</v>
      </c>
      <c r="AH55" s="776">
        <v>1</v>
      </c>
      <c r="AI55" s="770"/>
      <c r="AJ55" s="770"/>
    </row>
    <row r="56" spans="2:36">
      <c r="B56" s="764" t="s">
        <v>850</v>
      </c>
      <c r="C56" s="765" t="s">
        <v>851</v>
      </c>
      <c r="D56" s="766">
        <v>0.8</v>
      </c>
      <c r="E56" s="767">
        <v>7</v>
      </c>
      <c r="F56" s="767">
        <v>1.5</v>
      </c>
      <c r="G56" s="768">
        <f t="shared" si="1"/>
        <v>75000</v>
      </c>
      <c r="H56" s="767">
        <v>7</v>
      </c>
      <c r="I56" s="767" t="s">
        <v>655</v>
      </c>
      <c r="J56" s="767" t="s">
        <v>655</v>
      </c>
      <c r="K56" s="218"/>
      <c r="N56" s="787" t="s">
        <v>852</v>
      </c>
      <c r="O56" s="5" t="s">
        <v>853</v>
      </c>
      <c r="AB56" s="769"/>
      <c r="AC56" s="769"/>
      <c r="AD56" s="775" t="s">
        <v>854</v>
      </c>
      <c r="AE56" s="776" t="s">
        <v>800</v>
      </c>
      <c r="AF56" s="777">
        <v>4.3</v>
      </c>
      <c r="AG56" s="778">
        <v>5.9</v>
      </c>
      <c r="AH56" s="776">
        <v>1</v>
      </c>
      <c r="AI56" s="770"/>
      <c r="AJ56" s="770"/>
    </row>
    <row r="57" spans="2:36">
      <c r="B57" s="764" t="s">
        <v>855</v>
      </c>
      <c r="C57" s="765" t="s">
        <v>856</v>
      </c>
      <c r="D57" s="766">
        <v>0.27</v>
      </c>
      <c r="E57" s="767">
        <v>7</v>
      </c>
      <c r="F57" s="767">
        <v>1.5</v>
      </c>
      <c r="G57" s="768">
        <f t="shared" si="1"/>
        <v>75000</v>
      </c>
      <c r="H57" s="767">
        <v>7</v>
      </c>
      <c r="I57" s="767" t="s">
        <v>655</v>
      </c>
      <c r="J57" s="767" t="s">
        <v>655</v>
      </c>
      <c r="K57" s="218"/>
      <c r="AB57" s="769"/>
      <c r="AC57" s="769"/>
      <c r="AD57" s="775" t="s">
        <v>697</v>
      </c>
      <c r="AE57" s="776" t="s">
        <v>762</v>
      </c>
      <c r="AF57" s="777">
        <v>2.9</v>
      </c>
      <c r="AG57" s="778">
        <v>1.5</v>
      </c>
      <c r="AH57" s="776">
        <v>1</v>
      </c>
      <c r="AI57" s="770"/>
      <c r="AJ57" s="770"/>
    </row>
    <row r="58" spans="2:36" ht="15.6">
      <c r="B58" s="764" t="s">
        <v>857</v>
      </c>
      <c r="C58" s="765" t="s">
        <v>858</v>
      </c>
      <c r="D58" s="766">
        <v>0.48</v>
      </c>
      <c r="E58" s="767">
        <v>7</v>
      </c>
      <c r="F58" s="767">
        <v>3</v>
      </c>
      <c r="G58" s="768">
        <f t="shared" si="1"/>
        <v>150000</v>
      </c>
      <c r="H58" s="767">
        <v>7</v>
      </c>
      <c r="I58" s="767" t="s">
        <v>655</v>
      </c>
      <c r="J58" s="767" t="s">
        <v>655</v>
      </c>
      <c r="K58" s="218"/>
      <c r="N58" s="1146" t="s">
        <v>859</v>
      </c>
      <c r="O58" s="788"/>
      <c r="P58" s="788"/>
      <c r="Q58" s="788"/>
      <c r="R58" s="788"/>
      <c r="S58" s="788"/>
      <c r="T58" s="788"/>
      <c r="U58" s="788"/>
      <c r="V58" s="788"/>
      <c r="W58" s="788"/>
      <c r="X58" s="788"/>
      <c r="Y58" s="788"/>
      <c r="Z58" s="788"/>
      <c r="AA58" s="788"/>
      <c r="AB58" s="769"/>
      <c r="AC58" s="769"/>
      <c r="AD58" s="775" t="s">
        <v>860</v>
      </c>
      <c r="AE58" s="776" t="s">
        <v>762</v>
      </c>
      <c r="AF58" s="777">
        <v>1.5</v>
      </c>
      <c r="AG58" s="778">
        <v>0.2</v>
      </c>
      <c r="AH58" s="776">
        <v>1</v>
      </c>
      <c r="AI58" s="770"/>
      <c r="AJ58" s="770"/>
    </row>
    <row r="59" spans="2:36">
      <c r="B59" s="764" t="s">
        <v>861</v>
      </c>
      <c r="C59" s="765" t="s">
        <v>862</v>
      </c>
      <c r="D59" s="766">
        <v>0.09</v>
      </c>
      <c r="E59" s="767">
        <v>7</v>
      </c>
      <c r="F59" s="767">
        <v>8</v>
      </c>
      <c r="G59" s="768">
        <f t="shared" si="1"/>
        <v>400000</v>
      </c>
      <c r="H59" s="767">
        <v>7</v>
      </c>
      <c r="I59" s="767" t="s">
        <v>655</v>
      </c>
      <c r="J59" s="767" t="s">
        <v>655</v>
      </c>
      <c r="K59" s="218"/>
      <c r="AB59" s="769"/>
      <c r="AC59" s="769"/>
      <c r="AD59" s="775" t="s">
        <v>863</v>
      </c>
      <c r="AE59" s="776" t="s">
        <v>762</v>
      </c>
      <c r="AF59" s="777">
        <v>2.9</v>
      </c>
      <c r="AG59" s="778">
        <v>1.5</v>
      </c>
      <c r="AH59" s="776">
        <v>1</v>
      </c>
      <c r="AI59" s="770"/>
      <c r="AJ59" s="770"/>
    </row>
    <row r="60" spans="2:36">
      <c r="B60" s="764" t="s">
        <v>864</v>
      </c>
      <c r="C60" s="765" t="s">
        <v>865</v>
      </c>
      <c r="D60" s="766">
        <v>0.53</v>
      </c>
      <c r="E60" s="767">
        <v>7</v>
      </c>
      <c r="F60" s="767">
        <v>1</v>
      </c>
      <c r="G60" s="768">
        <f t="shared" si="1"/>
        <v>50000</v>
      </c>
      <c r="H60" s="767">
        <v>7</v>
      </c>
      <c r="I60" s="767" t="s">
        <v>655</v>
      </c>
      <c r="J60" s="767" t="s">
        <v>655</v>
      </c>
      <c r="K60" s="218"/>
      <c r="N60" s="789" t="s">
        <v>866</v>
      </c>
      <c r="O60" s="789"/>
      <c r="P60" s="789"/>
      <c r="Q60" s="789"/>
      <c r="R60" s="789"/>
      <c r="S60" s="789"/>
      <c r="T60" s="789"/>
      <c r="U60" s="789"/>
      <c r="V60" s="789"/>
      <c r="W60" s="789"/>
      <c r="X60" s="789"/>
      <c r="Y60" s="789"/>
      <c r="Z60" s="789"/>
      <c r="AA60" s="789"/>
      <c r="AB60" s="769"/>
      <c r="AC60" s="769"/>
      <c r="AD60" s="781" t="s">
        <v>867</v>
      </c>
      <c r="AE60" s="776" t="s">
        <v>762</v>
      </c>
      <c r="AF60" s="777">
        <v>1.4</v>
      </c>
      <c r="AG60" s="778">
        <v>0.1</v>
      </c>
      <c r="AH60" s="782">
        <v>1</v>
      </c>
      <c r="AI60" s="770"/>
      <c r="AJ60" s="770"/>
    </row>
    <row r="61" spans="2:36">
      <c r="B61" s="764" t="s">
        <v>868</v>
      </c>
      <c r="C61" s="765" t="s">
        <v>869</v>
      </c>
      <c r="D61" s="766">
        <v>0.33</v>
      </c>
      <c r="E61" s="767">
        <v>7</v>
      </c>
      <c r="F61" s="767">
        <v>1</v>
      </c>
      <c r="G61" s="768">
        <f t="shared" si="1"/>
        <v>50000</v>
      </c>
      <c r="H61" s="767">
        <v>7</v>
      </c>
      <c r="I61" s="767" t="s">
        <v>655</v>
      </c>
      <c r="J61" s="767" t="s">
        <v>655</v>
      </c>
      <c r="K61" s="218"/>
      <c r="AB61" s="769"/>
      <c r="AC61" s="769"/>
      <c r="AD61" s="775" t="s">
        <v>870</v>
      </c>
      <c r="AE61" s="776" t="s">
        <v>824</v>
      </c>
      <c r="AF61" s="777">
        <v>2.7</v>
      </c>
      <c r="AG61" s="778">
        <v>1.2</v>
      </c>
      <c r="AH61" s="776">
        <v>1</v>
      </c>
      <c r="AI61" s="770"/>
      <c r="AJ61" s="770"/>
    </row>
    <row r="62" spans="2:36" ht="15.6">
      <c r="B62" s="764" t="s">
        <v>871</v>
      </c>
      <c r="C62" s="765" t="s">
        <v>872</v>
      </c>
      <c r="D62" s="767" t="s">
        <v>655</v>
      </c>
      <c r="E62" s="767" t="s">
        <v>655</v>
      </c>
      <c r="F62" s="767">
        <v>2.5</v>
      </c>
      <c r="G62" s="768">
        <f t="shared" si="1"/>
        <v>125000</v>
      </c>
      <c r="H62" s="767">
        <v>7</v>
      </c>
      <c r="I62" s="767" t="s">
        <v>655</v>
      </c>
      <c r="J62" s="767" t="s">
        <v>655</v>
      </c>
      <c r="K62" s="218"/>
      <c r="N62" s="1119" t="s">
        <v>1439</v>
      </c>
      <c r="O62" s="1122" t="e">
        <f>IF('Regulação de polinização'!$K$24&gt;0,((('Regulação de polinização'!$K$24/'Regulação de polinização'!K23)-1)*100),VLOOKUP('Regulação de polinização'!$K$19,$B$16:$D$70,3,FALSE))</f>
        <v>#N/A</v>
      </c>
      <c r="P62" s="790"/>
      <c r="AB62" s="769"/>
      <c r="AC62" s="769"/>
      <c r="AD62" s="781" t="s">
        <v>873</v>
      </c>
      <c r="AE62" s="776" t="s">
        <v>800</v>
      </c>
      <c r="AF62" s="777">
        <v>2.9</v>
      </c>
      <c r="AG62" s="778">
        <v>0.8</v>
      </c>
      <c r="AH62" s="782">
        <v>1</v>
      </c>
      <c r="AI62" s="770"/>
      <c r="AJ62" s="770"/>
    </row>
    <row r="63" spans="2:36">
      <c r="B63" s="764" t="s">
        <v>874</v>
      </c>
      <c r="C63" s="765" t="s">
        <v>875</v>
      </c>
      <c r="D63" s="766">
        <v>0.1</v>
      </c>
      <c r="E63" s="767">
        <v>7</v>
      </c>
      <c r="F63" s="767" t="s">
        <v>655</v>
      </c>
      <c r="G63" s="786" t="s">
        <v>655</v>
      </c>
      <c r="H63" s="767" t="s">
        <v>655</v>
      </c>
      <c r="I63" s="767" t="s">
        <v>655</v>
      </c>
      <c r="J63" s="767" t="s">
        <v>655</v>
      </c>
      <c r="K63" s="218"/>
      <c r="AB63" s="769"/>
      <c r="AC63" s="769"/>
      <c r="AD63" s="775" t="s">
        <v>876</v>
      </c>
      <c r="AE63" s="776" t="s">
        <v>800</v>
      </c>
      <c r="AF63" s="777">
        <v>2.9</v>
      </c>
      <c r="AG63" s="778">
        <v>1.6</v>
      </c>
      <c r="AH63" s="776">
        <v>1</v>
      </c>
      <c r="AI63" s="770"/>
      <c r="AJ63" s="770"/>
    </row>
    <row r="64" spans="2:36">
      <c r="B64" s="764" t="s">
        <v>877</v>
      </c>
      <c r="C64" s="765" t="s">
        <v>814</v>
      </c>
      <c r="D64" s="766">
        <v>0.6</v>
      </c>
      <c r="E64" s="767">
        <v>7</v>
      </c>
      <c r="F64" s="767">
        <v>3</v>
      </c>
      <c r="G64" s="768">
        <f t="shared" si="1"/>
        <v>150000</v>
      </c>
      <c r="H64" s="767">
        <v>7</v>
      </c>
      <c r="I64" s="767" t="s">
        <v>655</v>
      </c>
      <c r="J64" s="767" t="s">
        <v>655</v>
      </c>
      <c r="K64" s="218"/>
      <c r="AB64" s="769"/>
      <c r="AC64" s="769"/>
      <c r="AD64" s="775" t="s">
        <v>878</v>
      </c>
      <c r="AE64" s="776" t="s">
        <v>800</v>
      </c>
      <c r="AF64" s="777">
        <v>2.9</v>
      </c>
      <c r="AG64" s="778">
        <v>1.6</v>
      </c>
      <c r="AH64" s="776">
        <v>1</v>
      </c>
      <c r="AI64" s="770"/>
      <c r="AJ64" s="770"/>
    </row>
    <row r="65" spans="1:36" ht="15.75" customHeight="1">
      <c r="B65" s="764" t="s">
        <v>879</v>
      </c>
      <c r="C65" s="765" t="s">
        <v>880</v>
      </c>
      <c r="D65" s="767" t="s">
        <v>655</v>
      </c>
      <c r="E65" s="767" t="s">
        <v>655</v>
      </c>
      <c r="F65" s="767">
        <v>3.5</v>
      </c>
      <c r="G65" s="768">
        <f t="shared" si="1"/>
        <v>175000</v>
      </c>
      <c r="H65" s="767">
        <v>7</v>
      </c>
      <c r="I65" s="767" t="s">
        <v>655</v>
      </c>
      <c r="J65" s="767" t="s">
        <v>655</v>
      </c>
      <c r="K65" s="218"/>
      <c r="AB65" s="769"/>
      <c r="AC65" s="769"/>
      <c r="AD65" s="775" t="s">
        <v>881</v>
      </c>
      <c r="AE65" s="776" t="s">
        <v>800</v>
      </c>
      <c r="AF65" s="777">
        <v>3.5</v>
      </c>
      <c r="AG65" s="778">
        <v>2.9</v>
      </c>
      <c r="AH65" s="776">
        <v>1</v>
      </c>
      <c r="AI65" s="770"/>
      <c r="AJ65" s="770"/>
    </row>
    <row r="66" spans="1:36">
      <c r="B66" s="764" t="s">
        <v>1273</v>
      </c>
      <c r="C66" s="765" t="s">
        <v>882</v>
      </c>
      <c r="D66" s="766">
        <v>0.9</v>
      </c>
      <c r="E66" s="767">
        <v>7</v>
      </c>
      <c r="F66" s="767" t="s">
        <v>655</v>
      </c>
      <c r="G66" s="786" t="s">
        <v>655</v>
      </c>
      <c r="H66" s="767" t="s">
        <v>655</v>
      </c>
      <c r="I66" s="767" t="s">
        <v>655</v>
      </c>
      <c r="J66" s="767" t="s">
        <v>655</v>
      </c>
      <c r="K66" s="218"/>
      <c r="AB66" s="769"/>
      <c r="AC66" s="769"/>
      <c r="AD66" s="775" t="s">
        <v>883</v>
      </c>
      <c r="AE66" s="776" t="s">
        <v>800</v>
      </c>
      <c r="AF66" s="777">
        <v>3.3</v>
      </c>
      <c r="AG66" s="778">
        <v>2.5</v>
      </c>
      <c r="AH66" s="776">
        <v>1</v>
      </c>
      <c r="AI66" s="770"/>
      <c r="AJ66" s="770"/>
    </row>
    <row r="67" spans="1:36">
      <c r="B67" s="764" t="s">
        <v>884</v>
      </c>
      <c r="C67" s="765" t="s">
        <v>885</v>
      </c>
      <c r="D67" s="766">
        <v>0.18</v>
      </c>
      <c r="E67" s="767">
        <v>7</v>
      </c>
      <c r="F67" s="767" t="s">
        <v>655</v>
      </c>
      <c r="G67" s="786" t="s">
        <v>655</v>
      </c>
      <c r="H67" s="767" t="s">
        <v>655</v>
      </c>
      <c r="I67" s="767" t="s">
        <v>655</v>
      </c>
      <c r="J67" s="767" t="s">
        <v>655</v>
      </c>
      <c r="K67" s="218"/>
      <c r="AB67" s="769"/>
      <c r="AC67" s="769"/>
      <c r="AD67" s="775" t="s">
        <v>886</v>
      </c>
      <c r="AE67" s="776" t="s">
        <v>800</v>
      </c>
      <c r="AF67" s="777">
        <v>3.3</v>
      </c>
      <c r="AG67" s="778">
        <v>2.2999999999999998</v>
      </c>
      <c r="AH67" s="776">
        <v>1</v>
      </c>
      <c r="AI67" s="770"/>
      <c r="AJ67" s="770"/>
    </row>
    <row r="68" spans="1:36">
      <c r="B68" s="764" t="s">
        <v>887</v>
      </c>
      <c r="C68" s="765" t="s">
        <v>888</v>
      </c>
      <c r="D68" s="766">
        <v>0.5</v>
      </c>
      <c r="E68" s="767">
        <v>7</v>
      </c>
      <c r="F68" s="767">
        <v>2.5</v>
      </c>
      <c r="G68" s="768">
        <f t="shared" ref="G68:G69" si="4">F68*50000</f>
        <v>125000</v>
      </c>
      <c r="H68" s="767">
        <v>7</v>
      </c>
      <c r="I68" s="767" t="s">
        <v>655</v>
      </c>
      <c r="J68" s="767" t="s">
        <v>655</v>
      </c>
      <c r="K68" s="218"/>
      <c r="AB68" s="769"/>
      <c r="AC68" s="769"/>
      <c r="AD68" s="775" t="s">
        <v>889</v>
      </c>
      <c r="AE68" s="776" t="s">
        <v>744</v>
      </c>
      <c r="AF68" s="777">
        <v>2.2000000000000002</v>
      </c>
      <c r="AG68" s="778">
        <v>0.6</v>
      </c>
      <c r="AH68" s="776">
        <v>1</v>
      </c>
      <c r="AI68" s="770"/>
      <c r="AJ68" s="770"/>
    </row>
    <row r="69" spans="1:36">
      <c r="B69" s="764" t="s">
        <v>890</v>
      </c>
      <c r="C69" s="765" t="s">
        <v>891</v>
      </c>
      <c r="D69" s="766">
        <v>0.78</v>
      </c>
      <c r="E69" s="767">
        <v>7</v>
      </c>
      <c r="F69" s="767">
        <v>6.5</v>
      </c>
      <c r="G69" s="768">
        <f t="shared" si="4"/>
        <v>325000</v>
      </c>
      <c r="H69" s="767">
        <v>7</v>
      </c>
      <c r="I69" s="767" t="s">
        <v>655</v>
      </c>
      <c r="J69" s="767" t="s">
        <v>655</v>
      </c>
      <c r="K69" s="218"/>
      <c r="AB69" s="769"/>
      <c r="AC69" s="769"/>
      <c r="AD69" s="781" t="s">
        <v>892</v>
      </c>
      <c r="AE69" s="776" t="s">
        <v>762</v>
      </c>
      <c r="AF69" s="777">
        <v>1.8</v>
      </c>
      <c r="AG69" s="778">
        <v>0.5</v>
      </c>
      <c r="AH69" s="782">
        <v>1</v>
      </c>
      <c r="AI69" s="770"/>
      <c r="AJ69" s="770"/>
    </row>
    <row r="70" spans="1:36">
      <c r="B70" s="764" t="s">
        <v>893</v>
      </c>
      <c r="C70" s="765" t="s">
        <v>894</v>
      </c>
      <c r="D70" s="766">
        <v>0.09</v>
      </c>
      <c r="E70" s="767">
        <v>7</v>
      </c>
      <c r="F70" s="767" t="s">
        <v>655</v>
      </c>
      <c r="G70" s="786" t="s">
        <v>655</v>
      </c>
      <c r="H70" s="767" t="s">
        <v>655</v>
      </c>
      <c r="I70" s="767" t="s">
        <v>655</v>
      </c>
      <c r="J70" s="767" t="s">
        <v>655</v>
      </c>
      <c r="K70" s="598"/>
      <c r="AB70" s="769"/>
      <c r="AC70" s="769"/>
      <c r="AD70" s="781" t="s">
        <v>895</v>
      </c>
      <c r="AE70" s="776" t="s">
        <v>762</v>
      </c>
      <c r="AF70" s="780">
        <v>1</v>
      </c>
      <c r="AG70" s="778">
        <v>0.5</v>
      </c>
      <c r="AH70" s="782">
        <v>1</v>
      </c>
      <c r="AI70" s="770"/>
      <c r="AJ70" s="770"/>
    </row>
    <row r="71" spans="1:36">
      <c r="B71" s="791" t="s">
        <v>1106</v>
      </c>
      <c r="C71" s="785"/>
      <c r="D71" s="767"/>
      <c r="E71" s="767"/>
      <c r="F71" s="767"/>
      <c r="G71" s="768"/>
      <c r="H71" s="767"/>
      <c r="I71" s="767"/>
      <c r="J71" s="767"/>
      <c r="K71" s="218"/>
      <c r="AB71" s="769"/>
      <c r="AC71" s="769"/>
      <c r="AD71" s="775" t="s">
        <v>896</v>
      </c>
      <c r="AE71" s="776" t="s">
        <v>762</v>
      </c>
      <c r="AF71" s="780">
        <v>2</v>
      </c>
      <c r="AG71" s="778">
        <v>0.4</v>
      </c>
      <c r="AH71" s="776">
        <v>1</v>
      </c>
      <c r="AI71" s="770"/>
      <c r="AJ71" s="770"/>
    </row>
    <row r="72" spans="1:36">
      <c r="B72" s="791" t="s">
        <v>12</v>
      </c>
      <c r="C72" s="764"/>
      <c r="D72" s="764"/>
      <c r="E72" s="764"/>
      <c r="F72" s="768"/>
      <c r="G72" s="764"/>
      <c r="H72" s="764"/>
      <c r="I72" s="764"/>
      <c r="J72" s="764"/>
      <c r="AB72" s="769"/>
      <c r="AC72" s="769"/>
      <c r="AD72" s="775" t="s">
        <v>897</v>
      </c>
      <c r="AE72" s="776" t="s">
        <v>824</v>
      </c>
      <c r="AF72" s="777">
        <v>2.1</v>
      </c>
      <c r="AG72" s="778">
        <v>0.6</v>
      </c>
      <c r="AH72" s="776">
        <v>1</v>
      </c>
      <c r="AI72" s="770"/>
      <c r="AJ72" s="770"/>
    </row>
    <row r="73" spans="1:36">
      <c r="B73" s="5" t="s">
        <v>1440</v>
      </c>
      <c r="AB73" s="769"/>
      <c r="AC73" s="769"/>
      <c r="AD73" s="781" t="s">
        <v>696</v>
      </c>
      <c r="AE73" s="776" t="s">
        <v>762</v>
      </c>
      <c r="AF73" s="780">
        <v>1</v>
      </c>
      <c r="AG73" s="778">
        <v>0.7</v>
      </c>
      <c r="AH73" s="782">
        <v>1</v>
      </c>
      <c r="AI73" s="770"/>
      <c r="AJ73" s="770"/>
    </row>
    <row r="74" spans="1:36">
      <c r="AB74" s="769"/>
      <c r="AC74" s="769"/>
      <c r="AD74" s="775" t="s">
        <v>898</v>
      </c>
      <c r="AE74" s="776" t="s">
        <v>762</v>
      </c>
      <c r="AF74" s="780">
        <v>3.1</v>
      </c>
      <c r="AG74" s="778">
        <v>2</v>
      </c>
      <c r="AH74" s="776">
        <v>1</v>
      </c>
      <c r="AI74" s="770"/>
      <c r="AJ74" s="770"/>
    </row>
    <row r="75" spans="1:36">
      <c r="A75" s="5">
        <v>1</v>
      </c>
      <c r="B75" s="5" t="s">
        <v>899</v>
      </c>
      <c r="AB75" s="769"/>
      <c r="AC75" s="769"/>
      <c r="AD75" s="781" t="s">
        <v>900</v>
      </c>
      <c r="AE75" s="776" t="s">
        <v>762</v>
      </c>
      <c r="AF75" s="777">
        <v>2.1</v>
      </c>
      <c r="AG75" s="778">
        <v>0.4</v>
      </c>
      <c r="AH75" s="782">
        <v>1</v>
      </c>
      <c r="AI75" s="770"/>
      <c r="AJ75" s="770"/>
    </row>
    <row r="76" spans="1:36">
      <c r="C76" s="5" t="s">
        <v>901</v>
      </c>
      <c r="N76" s="789" t="s">
        <v>902</v>
      </c>
      <c r="O76" s="789"/>
      <c r="P76" s="789"/>
      <c r="Q76" s="789"/>
      <c r="R76" s="789"/>
      <c r="S76" s="789"/>
      <c r="T76" s="789"/>
      <c r="U76" s="789"/>
      <c r="V76" s="789"/>
      <c r="W76" s="789"/>
      <c r="X76" s="789"/>
      <c r="Y76" s="789"/>
      <c r="Z76" s="789"/>
      <c r="AA76" s="789"/>
      <c r="AB76" s="769"/>
      <c r="AC76" s="769"/>
      <c r="AD76" s="781" t="s">
        <v>903</v>
      </c>
      <c r="AE76" s="776" t="s">
        <v>762</v>
      </c>
      <c r="AF76" s="777">
        <v>2.2999999999999998</v>
      </c>
      <c r="AG76" s="778">
        <v>1</v>
      </c>
      <c r="AH76" s="782">
        <v>1</v>
      </c>
      <c r="AI76" s="770"/>
      <c r="AJ76" s="770"/>
    </row>
    <row r="77" spans="1:36">
      <c r="C77" s="5" t="s">
        <v>904</v>
      </c>
      <c r="AB77" s="769"/>
      <c r="AC77" s="769"/>
      <c r="AD77" s="781" t="s">
        <v>905</v>
      </c>
      <c r="AE77" s="776" t="s">
        <v>762</v>
      </c>
      <c r="AF77" s="777">
        <v>1.5</v>
      </c>
      <c r="AG77" s="778">
        <v>0.3</v>
      </c>
      <c r="AH77" s="782">
        <v>1</v>
      </c>
      <c r="AI77" s="770"/>
      <c r="AJ77" s="770"/>
    </row>
    <row r="78" spans="1:36">
      <c r="C78" s="5" t="s">
        <v>906</v>
      </c>
      <c r="O78" s="1132" t="s">
        <v>1434</v>
      </c>
      <c r="P78" s="1133"/>
      <c r="Q78" s="1133"/>
      <c r="R78" s="1133"/>
      <c r="S78" s="1133"/>
      <c r="T78" s="1133"/>
      <c r="U78" s="1133"/>
      <c r="V78" s="1133"/>
      <c r="W78" s="1133"/>
      <c r="X78" s="1133"/>
      <c r="Y78" s="1133"/>
      <c r="Z78" s="1133"/>
      <c r="AA78" s="2034" t="s">
        <v>1435</v>
      </c>
      <c r="AB78" s="769"/>
      <c r="AC78" s="769"/>
      <c r="AD78" s="781" t="s">
        <v>907</v>
      </c>
      <c r="AE78" s="776" t="s">
        <v>762</v>
      </c>
      <c r="AF78" s="777">
        <v>1.8</v>
      </c>
      <c r="AG78" s="778">
        <v>0.8</v>
      </c>
      <c r="AH78" s="782">
        <v>1</v>
      </c>
      <c r="AI78" s="770"/>
      <c r="AJ78" s="770"/>
    </row>
    <row r="79" spans="1:36">
      <c r="A79" s="5">
        <v>2</v>
      </c>
      <c r="B79" s="5" t="s">
        <v>908</v>
      </c>
      <c r="N79" s="569"/>
      <c r="O79" s="1134">
        <v>1</v>
      </c>
      <c r="P79" s="1134">
        <v>2</v>
      </c>
      <c r="Q79" s="1134">
        <v>3</v>
      </c>
      <c r="R79" s="1134">
        <v>4</v>
      </c>
      <c r="S79" s="1134">
        <v>5</v>
      </c>
      <c r="T79" s="1134">
        <v>6</v>
      </c>
      <c r="U79" s="1134">
        <v>7</v>
      </c>
      <c r="V79" s="1134">
        <v>8</v>
      </c>
      <c r="W79" s="1134">
        <v>9</v>
      </c>
      <c r="X79" s="1134">
        <v>10</v>
      </c>
      <c r="Y79" s="1134">
        <v>11</v>
      </c>
      <c r="Z79" s="1134">
        <v>12</v>
      </c>
      <c r="AA79" s="2035"/>
      <c r="AB79" s="769"/>
      <c r="AC79" s="769"/>
      <c r="AD79" s="775" t="s">
        <v>909</v>
      </c>
      <c r="AE79" s="776" t="s">
        <v>762</v>
      </c>
      <c r="AF79" s="777">
        <v>5.8</v>
      </c>
      <c r="AG79" s="778">
        <v>15.8</v>
      </c>
      <c r="AH79" s="776">
        <v>1</v>
      </c>
      <c r="AI79" s="770"/>
      <c r="AJ79" s="770"/>
    </row>
    <row r="80" spans="1:36" ht="15.6">
      <c r="C80" s="5" t="s">
        <v>910</v>
      </c>
      <c r="N80" s="1120" t="str">
        <f>'Apoio Regulação de Polinização'!N23</f>
        <v>Abelhas</v>
      </c>
      <c r="O80" s="2037" t="s">
        <v>1441</v>
      </c>
      <c r="P80" s="2038"/>
      <c r="Q80" s="2038"/>
      <c r="R80" s="2038"/>
      <c r="S80" s="2038"/>
      <c r="T80" s="2038"/>
      <c r="U80" s="2038"/>
      <c r="V80" s="2038"/>
      <c r="W80" s="2038"/>
      <c r="X80" s="2038"/>
      <c r="Y80" s="2038"/>
      <c r="Z80" s="2039"/>
      <c r="AA80" s="1131" t="s">
        <v>754</v>
      </c>
      <c r="AB80" s="769"/>
      <c r="AC80" s="769"/>
      <c r="AD80" s="775" t="s">
        <v>911</v>
      </c>
      <c r="AE80" s="776" t="s">
        <v>762</v>
      </c>
      <c r="AF80" s="777">
        <v>7.8</v>
      </c>
      <c r="AG80" s="778">
        <v>43.8</v>
      </c>
      <c r="AH80" s="776">
        <v>1</v>
      </c>
      <c r="AJ80" s="770"/>
    </row>
    <row r="81" spans="1:36">
      <c r="C81" s="5" t="s">
        <v>912</v>
      </c>
      <c r="G81" s="5" t="s">
        <v>913</v>
      </c>
      <c r="N81" s="1121">
        <f>'Apoio Regulação de Polinização'!N24</f>
        <v>0</v>
      </c>
      <c r="O81" s="1122" t="e">
        <f>IF('Regulação de polinização'!E$105&gt;$AA81,0, 'Apoio Regulação de Polinização'!O24*2.7183^(-'Regulação de polinização'!E$105/$AA81))</f>
        <v>#N/A</v>
      </c>
      <c r="P81" s="1122" t="e">
        <f>IF('Regulação de polinização'!F$105&gt;$AA81,0, 'Apoio Regulação de Polinização'!P24*2.7183^(-'Regulação de polinização'!F$105/$AA81))</f>
        <v>#N/A</v>
      </c>
      <c r="Q81" s="1122" t="e">
        <f>IF('Regulação de polinização'!G$105&gt;$AA81,0, 'Apoio Regulação de Polinização'!Q24*2.7183^(-'Regulação de polinização'!G$105/$AA81))</f>
        <v>#N/A</v>
      </c>
      <c r="R81" s="1122" t="e">
        <f>IF('Regulação de polinização'!H$105&gt;$AA81,0, 'Apoio Regulação de Polinização'!R24*2.7183^(-'Regulação de polinização'!H$105/$AA81))</f>
        <v>#N/A</v>
      </c>
      <c r="S81" s="1122" t="e">
        <f>IF('Regulação de polinização'!I$105&gt;$AA81,0, 'Apoio Regulação de Polinização'!S24*2.7183^(-'Regulação de polinização'!I$105/$AA81))</f>
        <v>#N/A</v>
      </c>
      <c r="T81" s="1122" t="e">
        <f>IF('Regulação de polinização'!J$105&gt;$AA81,0, 'Apoio Regulação de Polinização'!T24*2.7183^(-'Regulação de polinização'!J$105/$AA81))</f>
        <v>#N/A</v>
      </c>
      <c r="U81" s="1122" t="e">
        <f>IF('Regulação de polinização'!K$105&gt;$AA81,0, 'Apoio Regulação de Polinização'!U24*2.7183^(-'Regulação de polinização'!K$105/$AA81))</f>
        <v>#N/A</v>
      </c>
      <c r="V81" s="1122" t="e">
        <f>IF('Regulação de polinização'!L$105&gt;$AA81,0, 'Apoio Regulação de Polinização'!V24*2.7183^(-'Regulação de polinização'!L$105/$AA81))</f>
        <v>#N/A</v>
      </c>
      <c r="W81" s="1122" t="e">
        <f>IF('Regulação de polinização'!M$105&gt;$AA81,0, 'Apoio Regulação de Polinização'!W24*2.7183^(-'Regulação de polinização'!M$105/$AA81))</f>
        <v>#N/A</v>
      </c>
      <c r="X81" s="1122" t="e">
        <f>IF('Regulação de polinização'!N$105&gt;$AA81,0, 'Apoio Regulação de Polinização'!X24*2.7183^(-'Regulação de polinização'!N$105/$AA81))</f>
        <v>#N/A</v>
      </c>
      <c r="Y81" s="1122" t="e">
        <f>IF('Regulação de polinização'!O$105&gt;$AA81,0, 'Apoio Regulação de Polinização'!Y24*2.7183^(-'Regulação de polinização'!O$105/$AA81))</f>
        <v>#N/A</v>
      </c>
      <c r="Z81" s="1122" t="e">
        <f>IF('Regulação de polinização'!P$105&gt;$AA81,0, 'Apoio Regulação de Polinização'!Z24*2.7183^(-'Regulação de polinização'!P$105/$AA81))</f>
        <v>#N/A</v>
      </c>
      <c r="AA81" s="1127" t="e">
        <f>'Apoio Regulação de Polinização'!AA24</f>
        <v>#N/A</v>
      </c>
      <c r="AB81" s="769"/>
      <c r="AC81" s="769"/>
      <c r="AD81" s="1531" t="s">
        <v>914</v>
      </c>
      <c r="AE81" s="1525" t="s">
        <v>762</v>
      </c>
      <c r="AF81" s="1532">
        <v>5.6</v>
      </c>
      <c r="AG81" s="1533">
        <v>13</v>
      </c>
      <c r="AH81" s="1524">
        <v>1</v>
      </c>
      <c r="AJ81" s="770"/>
    </row>
    <row r="82" spans="1:36">
      <c r="A82" s="5">
        <v>3</v>
      </c>
      <c r="B82" s="5" t="s">
        <v>915</v>
      </c>
      <c r="N82" s="1121">
        <f>'Apoio Regulação de Polinização'!N25</f>
        <v>0</v>
      </c>
      <c r="O82" s="1122" t="e">
        <f>IF('Regulação de polinização'!E$105&gt;$AA82,0, 'Apoio Regulação de Polinização'!O25*2.7183^(-'Regulação de polinização'!E$105/$AA82))</f>
        <v>#N/A</v>
      </c>
      <c r="P82" s="1122" t="e">
        <f>IF('Regulação de polinização'!F$105&gt;$AA82,0, 'Apoio Regulação de Polinização'!P25*2.7183^(-'Regulação de polinização'!F$105/$AA82))</f>
        <v>#N/A</v>
      </c>
      <c r="Q82" s="1122" t="e">
        <f>IF('Regulação de polinização'!G$105&gt;$AA82,0, 'Apoio Regulação de Polinização'!Q25*2.7183^(-'Regulação de polinização'!G$105/$AA82))</f>
        <v>#N/A</v>
      </c>
      <c r="R82" s="1122" t="e">
        <f>IF('Regulação de polinização'!H$105&gt;$AA82,0, 'Apoio Regulação de Polinização'!R25*2.7183^(-'Regulação de polinização'!H$105/$AA82))</f>
        <v>#N/A</v>
      </c>
      <c r="S82" s="1122" t="e">
        <f>IF('Regulação de polinização'!I$105&gt;$AA82,0, 'Apoio Regulação de Polinização'!S25*2.7183^(-'Regulação de polinização'!I$105/$AA82))</f>
        <v>#N/A</v>
      </c>
      <c r="T82" s="1122" t="e">
        <f>IF('Regulação de polinização'!J$105&gt;$AA82,0, 'Apoio Regulação de Polinização'!T25*2.7183^(-'Regulação de polinização'!J$105/$AA82))</f>
        <v>#N/A</v>
      </c>
      <c r="U82" s="1122" t="e">
        <f>IF('Regulação de polinização'!K$105&gt;$AA82,0, 'Apoio Regulação de Polinização'!U25*2.7183^(-'Regulação de polinização'!K$105/$AA82))</f>
        <v>#N/A</v>
      </c>
      <c r="V82" s="1122" t="e">
        <f>IF('Regulação de polinização'!L$105&gt;$AA82,0, 'Apoio Regulação de Polinização'!V25*2.7183^(-'Regulação de polinização'!L$105/$AA82))</f>
        <v>#N/A</v>
      </c>
      <c r="W82" s="1122" t="e">
        <f>IF('Regulação de polinização'!M$105&gt;$AA82,0, 'Apoio Regulação de Polinização'!W25*2.7183^(-'Regulação de polinização'!M$105/$AA82))</f>
        <v>#N/A</v>
      </c>
      <c r="X82" s="1122" t="e">
        <f>IF('Regulação de polinização'!N$105&gt;$AA82,0, 'Apoio Regulação de Polinização'!X25*2.7183^(-'Regulação de polinização'!N$105/$AA82))</f>
        <v>#N/A</v>
      </c>
      <c r="Y82" s="1122" t="e">
        <f>IF('Regulação de polinização'!O$105&gt;$AA82,0, 'Apoio Regulação de Polinização'!Y25*2.7183^(-'Regulação de polinização'!O$105/$AA82))</f>
        <v>#N/A</v>
      </c>
      <c r="Z82" s="1122" t="e">
        <f>IF('Regulação de polinização'!P$105&gt;$AA82,0, 'Apoio Regulação de Polinização'!Z25*2.7183^(-'Regulação de polinização'!P$105/$AA82))</f>
        <v>#N/A</v>
      </c>
      <c r="AA82" s="1128" t="e">
        <f>'Apoio Regulação de Polinização'!AA25</f>
        <v>#N/A</v>
      </c>
      <c r="AD82" s="1534" t="s">
        <v>916</v>
      </c>
      <c r="AE82" s="1532"/>
      <c r="AF82" s="859"/>
      <c r="AG82" s="859"/>
      <c r="AH82" s="859"/>
    </row>
    <row r="83" spans="1:36">
      <c r="C83" s="5" t="s">
        <v>917</v>
      </c>
      <c r="N83" s="1121">
        <f>'Apoio Regulação de Polinização'!N26</f>
        <v>0</v>
      </c>
      <c r="O83" s="1122" t="e">
        <f>IF('Regulação de polinização'!E$105&gt;$AA83,0, 'Apoio Regulação de Polinização'!O26*2.7183^(-'Regulação de polinização'!E$105/$AA83))</f>
        <v>#N/A</v>
      </c>
      <c r="P83" s="1122" t="e">
        <f>IF('Regulação de polinização'!F$105&gt;$AA83,0, 'Apoio Regulação de Polinização'!P26*2.7183^(-'Regulação de polinização'!F$105/$AA83))</f>
        <v>#N/A</v>
      </c>
      <c r="Q83" s="1122" t="e">
        <f>IF('Regulação de polinização'!G$105&gt;$AA83,0, 'Apoio Regulação de Polinização'!Q26*2.7183^(-'Regulação de polinização'!G$105/$AA83))</f>
        <v>#N/A</v>
      </c>
      <c r="R83" s="1122" t="e">
        <f>IF('Regulação de polinização'!H$105&gt;$AA83,0, 'Apoio Regulação de Polinização'!R26*2.7183^(-'Regulação de polinização'!H$105/$AA83))</f>
        <v>#N/A</v>
      </c>
      <c r="S83" s="1122" t="e">
        <f>IF('Regulação de polinização'!I$105&gt;$AA83,0, 'Apoio Regulação de Polinização'!S26*2.7183^(-'Regulação de polinização'!I$105/$AA83))</f>
        <v>#N/A</v>
      </c>
      <c r="T83" s="1122" t="e">
        <f>IF('Regulação de polinização'!J$105&gt;$AA83,0, 'Apoio Regulação de Polinização'!T26*2.7183^(-'Regulação de polinização'!J$105/$AA83))</f>
        <v>#N/A</v>
      </c>
      <c r="U83" s="1122" t="e">
        <f>IF('Regulação de polinização'!K$105&gt;$AA83,0, 'Apoio Regulação de Polinização'!U26*2.7183^(-'Regulação de polinização'!K$105/$AA83))</f>
        <v>#N/A</v>
      </c>
      <c r="V83" s="1122" t="e">
        <f>IF('Regulação de polinização'!L$105&gt;$AA83,0, 'Apoio Regulação de Polinização'!V26*2.7183^(-'Regulação de polinização'!L$105/$AA83))</f>
        <v>#N/A</v>
      </c>
      <c r="W83" s="1122" t="e">
        <f>IF('Regulação de polinização'!M$105&gt;$AA83,0, 'Apoio Regulação de Polinização'!W26*2.7183^(-'Regulação de polinização'!M$105/$AA83))</f>
        <v>#N/A</v>
      </c>
      <c r="X83" s="1122" t="e">
        <f>IF('Regulação de polinização'!N$105&gt;$AA83,0, 'Apoio Regulação de Polinização'!X26*2.7183^(-'Regulação de polinização'!N$105/$AA83))</f>
        <v>#N/A</v>
      </c>
      <c r="Y83" s="1122" t="e">
        <f>IF('Regulação de polinização'!O$105&gt;$AA83,0, 'Apoio Regulação de Polinização'!Y26*2.7183^(-'Regulação de polinização'!O$105/$AA83))</f>
        <v>#N/A</v>
      </c>
      <c r="Z83" s="1122" t="e">
        <f>IF('Regulação de polinização'!P$105&gt;$AA83,0, 'Apoio Regulação de Polinização'!Z26*2.7183^(-'Regulação de polinização'!P$105/$AA83))</f>
        <v>#N/A</v>
      </c>
      <c r="AA83" s="1128" t="e">
        <f>'Apoio Regulação de Polinização'!AA26</f>
        <v>#N/A</v>
      </c>
      <c r="AD83" s="7"/>
      <c r="AE83" s="1523"/>
      <c r="AF83" s="7"/>
      <c r="AG83" s="7"/>
      <c r="AH83" s="7"/>
    </row>
    <row r="84" spans="1:36">
      <c r="C84" s="5" t="s">
        <v>918</v>
      </c>
      <c r="N84" s="1121">
        <f>'Apoio Regulação de Polinização'!N27</f>
        <v>0</v>
      </c>
      <c r="O84" s="1122" t="e">
        <f>IF('Regulação de polinização'!E$105&gt;$AA84,0, 'Apoio Regulação de Polinização'!O27*2.7183^(-'Regulação de polinização'!E$105/$AA84))</f>
        <v>#N/A</v>
      </c>
      <c r="P84" s="1122" t="e">
        <f>IF('Regulação de polinização'!F$105&gt;$AA84,0, 'Apoio Regulação de Polinização'!P27*2.7183^(-'Regulação de polinização'!F$105/$AA84))</f>
        <v>#N/A</v>
      </c>
      <c r="Q84" s="1122" t="e">
        <f>IF('Regulação de polinização'!G$105&gt;$AA84,0, 'Apoio Regulação de Polinização'!Q27*2.7183^(-'Regulação de polinização'!G$105/$AA84))</f>
        <v>#N/A</v>
      </c>
      <c r="R84" s="1122" t="e">
        <f>IF('Regulação de polinização'!H$105&gt;$AA84,0, 'Apoio Regulação de Polinização'!R27*2.7183^(-'Regulação de polinização'!H$105/$AA84))</f>
        <v>#N/A</v>
      </c>
      <c r="S84" s="1122" t="e">
        <f>IF('Regulação de polinização'!I$105&gt;$AA84,0, 'Apoio Regulação de Polinização'!S27*2.7183^(-'Regulação de polinização'!I$105/$AA84))</f>
        <v>#N/A</v>
      </c>
      <c r="T84" s="1122" t="e">
        <f>IF('Regulação de polinização'!J$105&gt;$AA84,0, 'Apoio Regulação de Polinização'!T27*2.7183^(-'Regulação de polinização'!J$105/$AA84))</f>
        <v>#N/A</v>
      </c>
      <c r="U84" s="1122" t="e">
        <f>IF('Regulação de polinização'!K$105&gt;$AA84,0, 'Apoio Regulação de Polinização'!U27*2.7183^(-'Regulação de polinização'!K$105/$AA84))</f>
        <v>#N/A</v>
      </c>
      <c r="V84" s="1122" t="e">
        <f>IF('Regulação de polinização'!L$105&gt;$AA84,0, 'Apoio Regulação de Polinização'!V27*2.7183^(-'Regulação de polinização'!L$105/$AA84))</f>
        <v>#N/A</v>
      </c>
      <c r="W84" s="1122" t="e">
        <f>IF('Regulação de polinização'!M$105&gt;$AA84,0, 'Apoio Regulação de Polinização'!W27*2.7183^(-'Regulação de polinização'!M$105/$AA84))</f>
        <v>#N/A</v>
      </c>
      <c r="X84" s="1122" t="e">
        <f>IF('Regulação de polinização'!N$105&gt;$AA84,0, 'Apoio Regulação de Polinização'!X27*2.7183^(-'Regulação de polinização'!N$105/$AA84))</f>
        <v>#N/A</v>
      </c>
      <c r="Y84" s="1122" t="e">
        <f>IF('Regulação de polinização'!O$105&gt;$AA84,0, 'Apoio Regulação de Polinização'!Y27*2.7183^(-'Regulação de polinização'!O$105/$AA84))</f>
        <v>#N/A</v>
      </c>
      <c r="Z84" s="1122" t="e">
        <f>IF('Regulação de polinização'!P$105&gt;$AA84,0, 'Apoio Regulação de Polinização'!Z27*2.7183^(-'Regulação de polinização'!P$105/$AA84))</f>
        <v>#N/A</v>
      </c>
      <c r="AA84" s="1128" t="e">
        <f>'Apoio Regulação de Polinização'!AA27</f>
        <v>#N/A</v>
      </c>
    </row>
    <row r="85" spans="1:36">
      <c r="A85" s="5">
        <v>4</v>
      </c>
      <c r="B85" s="5" t="s">
        <v>919</v>
      </c>
      <c r="N85" s="1121">
        <f>'Apoio Regulação de Polinização'!N28</f>
        <v>0</v>
      </c>
      <c r="O85" s="1122" t="e">
        <f>IF('Regulação de polinização'!E$105&gt;$AA85,0, 'Apoio Regulação de Polinização'!O28*2.7183^(-'Regulação de polinização'!E$105/$AA85))</f>
        <v>#N/A</v>
      </c>
      <c r="P85" s="1122" t="e">
        <f>IF('Regulação de polinização'!F$105&gt;$AA85,0, 'Apoio Regulação de Polinização'!P28*2.7183^(-'Regulação de polinização'!F$105/$AA85))</f>
        <v>#N/A</v>
      </c>
      <c r="Q85" s="1122" t="e">
        <f>IF('Regulação de polinização'!G$105&gt;$AA85,0, 'Apoio Regulação de Polinização'!Q28*2.7183^(-'Regulação de polinização'!G$105/$AA85))</f>
        <v>#N/A</v>
      </c>
      <c r="R85" s="1122" t="e">
        <f>IF('Regulação de polinização'!H$105&gt;$AA85,0, 'Apoio Regulação de Polinização'!R28*2.7183^(-'Regulação de polinização'!H$105/$AA85))</f>
        <v>#N/A</v>
      </c>
      <c r="S85" s="1122" t="e">
        <f>IF('Regulação de polinização'!I$105&gt;$AA85,0, 'Apoio Regulação de Polinização'!S28*2.7183^(-'Regulação de polinização'!I$105/$AA85))</f>
        <v>#N/A</v>
      </c>
      <c r="T85" s="1122" t="e">
        <f>IF('Regulação de polinização'!J$105&gt;$AA85,0, 'Apoio Regulação de Polinização'!T28*2.7183^(-'Regulação de polinização'!J$105/$AA85))</f>
        <v>#N/A</v>
      </c>
      <c r="U85" s="1122" t="e">
        <f>IF('Regulação de polinização'!K$105&gt;$AA85,0, 'Apoio Regulação de Polinização'!U28*2.7183^(-'Regulação de polinização'!K$105/$AA85))</f>
        <v>#N/A</v>
      </c>
      <c r="V85" s="1122" t="e">
        <f>IF('Regulação de polinização'!L$105&gt;$AA85,0, 'Apoio Regulação de Polinização'!V28*2.7183^(-'Regulação de polinização'!L$105/$AA85))</f>
        <v>#N/A</v>
      </c>
      <c r="W85" s="1122" t="e">
        <f>IF('Regulação de polinização'!M$105&gt;$AA85,0, 'Apoio Regulação de Polinização'!W28*2.7183^(-'Regulação de polinização'!M$105/$AA85))</f>
        <v>#N/A</v>
      </c>
      <c r="X85" s="1122" t="e">
        <f>IF('Regulação de polinização'!N$105&gt;$AA85,0, 'Apoio Regulação de Polinização'!X28*2.7183^(-'Regulação de polinização'!N$105/$AA85))</f>
        <v>#N/A</v>
      </c>
      <c r="Y85" s="1122" t="e">
        <f>IF('Regulação de polinização'!O$105&gt;$AA85,0, 'Apoio Regulação de Polinização'!Y28*2.7183^(-'Regulação de polinização'!O$105/$AA85))</f>
        <v>#N/A</v>
      </c>
      <c r="Z85" s="1122" t="e">
        <f>IF('Regulação de polinização'!P$105&gt;$AA85,0, 'Apoio Regulação de Polinização'!Z28*2.7183^(-'Regulação de polinização'!P$105/$AA85))</f>
        <v>#N/A</v>
      </c>
      <c r="AA85" s="1128" t="e">
        <f>'Apoio Regulação de Polinização'!AA28</f>
        <v>#N/A</v>
      </c>
    </row>
    <row r="86" spans="1:36">
      <c r="C86" s="5" t="s">
        <v>920</v>
      </c>
      <c r="N86" s="1121">
        <f>'Apoio Regulação de Polinização'!N29</f>
        <v>0</v>
      </c>
      <c r="O86" s="1122" t="e">
        <f>IF('Regulação de polinização'!E$105&gt;$AA86,0, 'Apoio Regulação de Polinização'!O29*2.7183^(-'Regulação de polinização'!E$105/$AA86))</f>
        <v>#N/A</v>
      </c>
      <c r="P86" s="1122" t="e">
        <f>IF('Regulação de polinização'!F$105&gt;$AA86,0, 'Apoio Regulação de Polinização'!P29*2.7183^(-'Regulação de polinização'!F$105/$AA86))</f>
        <v>#N/A</v>
      </c>
      <c r="Q86" s="1122" t="e">
        <f>IF('Regulação de polinização'!G$105&gt;$AA86,0, 'Apoio Regulação de Polinização'!Q29*2.7183^(-'Regulação de polinização'!G$105/$AA86))</f>
        <v>#N/A</v>
      </c>
      <c r="R86" s="1122" t="e">
        <f>IF('Regulação de polinização'!H$105&gt;$AA86,0, 'Apoio Regulação de Polinização'!R29*2.7183^(-'Regulação de polinização'!H$105/$AA86))</f>
        <v>#N/A</v>
      </c>
      <c r="S86" s="1122" t="e">
        <f>IF('Regulação de polinização'!I$105&gt;$AA86,0, 'Apoio Regulação de Polinização'!S29*2.7183^(-'Regulação de polinização'!I$105/$AA86))</f>
        <v>#N/A</v>
      </c>
      <c r="T86" s="1122" t="e">
        <f>IF('Regulação de polinização'!J$105&gt;$AA86,0, 'Apoio Regulação de Polinização'!T29*2.7183^(-'Regulação de polinização'!J$105/$AA86))</f>
        <v>#N/A</v>
      </c>
      <c r="U86" s="1122" t="e">
        <f>IF('Regulação de polinização'!K$105&gt;$AA86,0, 'Apoio Regulação de Polinização'!U29*2.7183^(-'Regulação de polinização'!K$105/$AA86))</f>
        <v>#N/A</v>
      </c>
      <c r="V86" s="1122" t="e">
        <f>IF('Regulação de polinização'!L$105&gt;$AA86,0, 'Apoio Regulação de Polinização'!V29*2.7183^(-'Regulação de polinização'!L$105/$AA86))</f>
        <v>#N/A</v>
      </c>
      <c r="W86" s="1122" t="e">
        <f>IF('Regulação de polinização'!M$105&gt;$AA86,0, 'Apoio Regulação de Polinização'!W29*2.7183^(-'Regulação de polinização'!M$105/$AA86))</f>
        <v>#N/A</v>
      </c>
      <c r="X86" s="1122" t="e">
        <f>IF('Regulação de polinização'!N$105&gt;$AA86,0, 'Apoio Regulação de Polinização'!X29*2.7183^(-'Regulação de polinização'!N$105/$AA86))</f>
        <v>#N/A</v>
      </c>
      <c r="Y86" s="1122" t="e">
        <f>IF('Regulação de polinização'!O$105&gt;$AA86,0, 'Apoio Regulação de Polinização'!Y29*2.7183^(-'Regulação de polinização'!O$105/$AA86))</f>
        <v>#N/A</v>
      </c>
      <c r="Z86" s="1122" t="e">
        <f>IF('Regulação de polinização'!P$105&gt;$AA86,0, 'Apoio Regulação de Polinização'!Z29*2.7183^(-'Regulação de polinização'!P$105/$AA86))</f>
        <v>#N/A</v>
      </c>
      <c r="AA86" s="1128" t="e">
        <f>'Apoio Regulação de Polinização'!AA29</f>
        <v>#N/A</v>
      </c>
    </row>
    <row r="87" spans="1:36">
      <c r="C87" s="5" t="s">
        <v>921</v>
      </c>
      <c r="N87" s="1121">
        <f>'Apoio Regulação de Polinização'!N30</f>
        <v>0</v>
      </c>
      <c r="O87" s="1122" t="e">
        <f>IF('Regulação de polinização'!E$105&gt;$AA87,0, 'Apoio Regulação de Polinização'!O30*2.7183^(-'Regulação de polinização'!E$105/$AA87))</f>
        <v>#N/A</v>
      </c>
      <c r="P87" s="1122" t="e">
        <f>IF('Regulação de polinização'!F$105&gt;$AA87,0, 'Apoio Regulação de Polinização'!P30*2.7183^(-'Regulação de polinização'!F$105/$AA87))</f>
        <v>#N/A</v>
      </c>
      <c r="Q87" s="1122" t="e">
        <f>IF('Regulação de polinização'!G$105&gt;$AA87,0, 'Apoio Regulação de Polinização'!Q30*2.7183^(-'Regulação de polinização'!G$105/$AA87))</f>
        <v>#N/A</v>
      </c>
      <c r="R87" s="1122" t="e">
        <f>IF('Regulação de polinização'!H$105&gt;$AA87,0, 'Apoio Regulação de Polinização'!R30*2.7183^(-'Regulação de polinização'!H$105/$AA87))</f>
        <v>#N/A</v>
      </c>
      <c r="S87" s="1122" t="e">
        <f>IF('Regulação de polinização'!I$105&gt;$AA87,0, 'Apoio Regulação de Polinização'!S30*2.7183^(-'Regulação de polinização'!I$105/$AA87))</f>
        <v>#N/A</v>
      </c>
      <c r="T87" s="1122" t="e">
        <f>IF('Regulação de polinização'!J$105&gt;$AA87,0, 'Apoio Regulação de Polinização'!T30*2.7183^(-'Regulação de polinização'!J$105/$AA87))</f>
        <v>#N/A</v>
      </c>
      <c r="U87" s="1122" t="e">
        <f>IF('Regulação de polinização'!K$105&gt;$AA87,0, 'Apoio Regulação de Polinização'!U30*2.7183^(-'Regulação de polinização'!K$105/$AA87))</f>
        <v>#N/A</v>
      </c>
      <c r="V87" s="1122" t="e">
        <f>IF('Regulação de polinização'!L$105&gt;$AA87,0, 'Apoio Regulação de Polinização'!V30*2.7183^(-'Regulação de polinização'!L$105/$AA87))</f>
        <v>#N/A</v>
      </c>
      <c r="W87" s="1122" t="e">
        <f>IF('Regulação de polinização'!M$105&gt;$AA87,0, 'Apoio Regulação de Polinização'!W30*2.7183^(-'Regulação de polinização'!M$105/$AA87))</f>
        <v>#N/A</v>
      </c>
      <c r="X87" s="1122" t="e">
        <f>IF('Regulação de polinização'!N$105&gt;$AA87,0, 'Apoio Regulação de Polinização'!X30*2.7183^(-'Regulação de polinização'!N$105/$AA87))</f>
        <v>#N/A</v>
      </c>
      <c r="Y87" s="1122" t="e">
        <f>IF('Regulação de polinização'!O$105&gt;$AA87,0, 'Apoio Regulação de Polinização'!Y30*2.7183^(-'Regulação de polinização'!O$105/$AA87))</f>
        <v>#N/A</v>
      </c>
      <c r="Z87" s="1122" t="e">
        <f>IF('Regulação de polinização'!P$105&gt;$AA87,0, 'Apoio Regulação de Polinização'!Z30*2.7183^(-'Regulação de polinização'!P$105/$AA87))</f>
        <v>#N/A</v>
      </c>
      <c r="AA87" s="1128" t="e">
        <f>'Apoio Regulação de Polinização'!AA30</f>
        <v>#N/A</v>
      </c>
    </row>
    <row r="88" spans="1:36">
      <c r="A88" s="5">
        <v>5</v>
      </c>
      <c r="B88" s="5" t="s">
        <v>922</v>
      </c>
      <c r="N88" s="1121">
        <f>'Apoio Regulação de Polinização'!N31</f>
        <v>0</v>
      </c>
      <c r="O88" s="1122" t="e">
        <f>IF('Regulação de polinização'!E$105&gt;$AA88,0, 'Apoio Regulação de Polinização'!O31*2.7183^(-'Regulação de polinização'!E$105/$AA88))</f>
        <v>#N/A</v>
      </c>
      <c r="P88" s="1122" t="e">
        <f>IF('Regulação de polinização'!F$105&gt;$AA88,0, 'Apoio Regulação de Polinização'!P31*2.7183^(-'Regulação de polinização'!F$105/$AA88))</f>
        <v>#N/A</v>
      </c>
      <c r="Q88" s="1122" t="e">
        <f>IF('Regulação de polinização'!G$105&gt;$AA88,0, 'Apoio Regulação de Polinização'!Q31*2.7183^(-'Regulação de polinização'!G$105/$AA88))</f>
        <v>#N/A</v>
      </c>
      <c r="R88" s="1122" t="e">
        <f>IF('Regulação de polinização'!H$105&gt;$AA88,0, 'Apoio Regulação de Polinização'!R31*2.7183^(-'Regulação de polinização'!H$105/$AA88))</f>
        <v>#N/A</v>
      </c>
      <c r="S88" s="1122" t="e">
        <f>IF('Regulação de polinização'!I$105&gt;$AA88,0, 'Apoio Regulação de Polinização'!S31*2.7183^(-'Regulação de polinização'!I$105/$AA88))</f>
        <v>#N/A</v>
      </c>
      <c r="T88" s="1122" t="e">
        <f>IF('Regulação de polinização'!J$105&gt;$AA88,0, 'Apoio Regulação de Polinização'!T31*2.7183^(-'Regulação de polinização'!J$105/$AA88))</f>
        <v>#N/A</v>
      </c>
      <c r="U88" s="1122" t="e">
        <f>IF('Regulação de polinização'!K$105&gt;$AA88,0, 'Apoio Regulação de Polinização'!U31*2.7183^(-'Regulação de polinização'!K$105/$AA88))</f>
        <v>#N/A</v>
      </c>
      <c r="V88" s="1122" t="e">
        <f>IF('Regulação de polinização'!L$105&gt;$AA88,0, 'Apoio Regulação de Polinização'!V31*2.7183^(-'Regulação de polinização'!L$105/$AA88))</f>
        <v>#N/A</v>
      </c>
      <c r="W88" s="1122" t="e">
        <f>IF('Regulação de polinização'!M$105&gt;$AA88,0, 'Apoio Regulação de Polinização'!W31*2.7183^(-'Regulação de polinização'!M$105/$AA88))</f>
        <v>#N/A</v>
      </c>
      <c r="X88" s="1122" t="e">
        <f>IF('Regulação de polinização'!N$105&gt;$AA88,0, 'Apoio Regulação de Polinização'!X31*2.7183^(-'Regulação de polinização'!N$105/$AA88))</f>
        <v>#N/A</v>
      </c>
      <c r="Y88" s="1122" t="e">
        <f>IF('Regulação de polinização'!O$105&gt;$AA88,0, 'Apoio Regulação de Polinização'!Y31*2.7183^(-'Regulação de polinização'!O$105/$AA88))</f>
        <v>#N/A</v>
      </c>
      <c r="Z88" s="1122" t="e">
        <f>IF('Regulação de polinização'!P$105&gt;$AA88,0, 'Apoio Regulação de Polinização'!Z31*2.7183^(-'Regulação de polinização'!P$105/$AA88))</f>
        <v>#N/A</v>
      </c>
      <c r="AA88" s="1128" t="e">
        <f>'Apoio Regulação de Polinização'!AA31</f>
        <v>#N/A</v>
      </c>
    </row>
    <row r="89" spans="1:36">
      <c r="C89" s="5" t="s">
        <v>923</v>
      </c>
      <c r="N89" s="1121">
        <f>'Apoio Regulação de Polinização'!N32</f>
        <v>0</v>
      </c>
      <c r="O89" s="1122" t="e">
        <f>IF('Regulação de polinização'!E$105&gt;$AA89,0, 'Apoio Regulação de Polinização'!O32*2.7183^(-'Regulação de polinização'!E$105/$AA89))</f>
        <v>#N/A</v>
      </c>
      <c r="P89" s="1122" t="e">
        <f>IF('Regulação de polinização'!F$105&gt;$AA89,0, 'Apoio Regulação de Polinização'!P32*2.7183^(-'Regulação de polinização'!F$105/$AA89))</f>
        <v>#N/A</v>
      </c>
      <c r="Q89" s="1122" t="e">
        <f>IF('Regulação de polinização'!G$105&gt;$AA89,0, 'Apoio Regulação de Polinização'!Q32*2.7183^(-'Regulação de polinização'!G$105/$AA89))</f>
        <v>#N/A</v>
      </c>
      <c r="R89" s="1122" t="e">
        <f>IF('Regulação de polinização'!H$105&gt;$AA89,0, 'Apoio Regulação de Polinização'!R32*2.7183^(-'Regulação de polinização'!H$105/$AA89))</f>
        <v>#N/A</v>
      </c>
      <c r="S89" s="1122" t="e">
        <f>IF('Regulação de polinização'!I$105&gt;$AA89,0, 'Apoio Regulação de Polinização'!S32*2.7183^(-'Regulação de polinização'!I$105/$AA89))</f>
        <v>#N/A</v>
      </c>
      <c r="T89" s="1122" t="e">
        <f>IF('Regulação de polinização'!J$105&gt;$AA89,0, 'Apoio Regulação de Polinização'!T32*2.7183^(-'Regulação de polinização'!J$105/$AA89))</f>
        <v>#N/A</v>
      </c>
      <c r="U89" s="1122" t="e">
        <f>IF('Regulação de polinização'!K$105&gt;$AA89,0, 'Apoio Regulação de Polinização'!U32*2.7183^(-'Regulação de polinização'!K$105/$AA89))</f>
        <v>#N/A</v>
      </c>
      <c r="V89" s="1122" t="e">
        <f>IF('Regulação de polinização'!L$105&gt;$AA89,0, 'Apoio Regulação de Polinização'!V32*2.7183^(-'Regulação de polinização'!L$105/$AA89))</f>
        <v>#N/A</v>
      </c>
      <c r="W89" s="1122" t="e">
        <f>IF('Regulação de polinização'!M$105&gt;$AA89,0, 'Apoio Regulação de Polinização'!W32*2.7183^(-'Regulação de polinização'!M$105/$AA89))</f>
        <v>#N/A</v>
      </c>
      <c r="X89" s="1122" t="e">
        <f>IF('Regulação de polinização'!N$105&gt;$AA89,0, 'Apoio Regulação de Polinização'!X32*2.7183^(-'Regulação de polinização'!N$105/$AA89))</f>
        <v>#N/A</v>
      </c>
      <c r="Y89" s="1122" t="e">
        <f>IF('Regulação de polinização'!O$105&gt;$AA89,0, 'Apoio Regulação de Polinização'!Y32*2.7183^(-'Regulação de polinização'!O$105/$AA89))</f>
        <v>#N/A</v>
      </c>
      <c r="Z89" s="1122" t="e">
        <f>IF('Regulação de polinização'!P$105&gt;$AA89,0, 'Apoio Regulação de Polinização'!Z32*2.7183^(-'Regulação de polinização'!P$105/$AA89))</f>
        <v>#N/A</v>
      </c>
      <c r="AA89" s="1128" t="e">
        <f>'Apoio Regulação de Polinização'!AA32</f>
        <v>#N/A</v>
      </c>
    </row>
    <row r="90" spans="1:36">
      <c r="C90" s="5" t="s">
        <v>924</v>
      </c>
      <c r="N90" s="1121">
        <f>'Apoio Regulação de Polinização'!N33</f>
        <v>0</v>
      </c>
      <c r="O90" s="1122" t="e">
        <f>IF('Regulação de polinização'!E$105&gt;$AA90,0, 'Apoio Regulação de Polinização'!O33*2.7183^(-'Regulação de polinização'!E$105/$AA90))</f>
        <v>#N/A</v>
      </c>
      <c r="P90" s="1122" t="e">
        <f>IF('Regulação de polinização'!F$105&gt;$AA90,0, 'Apoio Regulação de Polinização'!P33*2.7183^(-'Regulação de polinização'!F$105/$AA90))</f>
        <v>#N/A</v>
      </c>
      <c r="Q90" s="1122" t="e">
        <f>IF('Regulação de polinização'!G$105&gt;$AA90,0, 'Apoio Regulação de Polinização'!Q33*2.7183^(-'Regulação de polinização'!G$105/$AA90))</f>
        <v>#N/A</v>
      </c>
      <c r="R90" s="1122" t="e">
        <f>IF('Regulação de polinização'!H$105&gt;$AA90,0, 'Apoio Regulação de Polinização'!R33*2.7183^(-'Regulação de polinização'!H$105/$AA90))</f>
        <v>#N/A</v>
      </c>
      <c r="S90" s="1122" t="e">
        <f>IF('Regulação de polinização'!I$105&gt;$AA90,0, 'Apoio Regulação de Polinização'!S33*2.7183^(-'Regulação de polinização'!I$105/$AA90))</f>
        <v>#N/A</v>
      </c>
      <c r="T90" s="1122" t="e">
        <f>IF('Regulação de polinização'!J$105&gt;$AA90,0, 'Apoio Regulação de Polinização'!T33*2.7183^(-'Regulação de polinização'!J$105/$AA90))</f>
        <v>#N/A</v>
      </c>
      <c r="U90" s="1122" t="e">
        <f>IF('Regulação de polinização'!K$105&gt;$AA90,0, 'Apoio Regulação de Polinização'!U33*2.7183^(-'Regulação de polinização'!K$105/$AA90))</f>
        <v>#N/A</v>
      </c>
      <c r="V90" s="1122" t="e">
        <f>IF('Regulação de polinização'!L$105&gt;$AA90,0, 'Apoio Regulação de Polinização'!V33*2.7183^(-'Regulação de polinização'!L$105/$AA90))</f>
        <v>#N/A</v>
      </c>
      <c r="W90" s="1122" t="e">
        <f>IF('Regulação de polinização'!M$105&gt;$AA90,0, 'Apoio Regulação de Polinização'!W33*2.7183^(-'Regulação de polinização'!M$105/$AA90))</f>
        <v>#N/A</v>
      </c>
      <c r="X90" s="1122" t="e">
        <f>IF('Regulação de polinização'!N$105&gt;$AA90,0, 'Apoio Regulação de Polinização'!X33*2.7183^(-'Regulação de polinização'!N$105/$AA90))</f>
        <v>#N/A</v>
      </c>
      <c r="Y90" s="1122" t="e">
        <f>IF('Regulação de polinização'!O$105&gt;$AA90,0, 'Apoio Regulação de Polinização'!Y33*2.7183^(-'Regulação de polinização'!O$105/$AA90))</f>
        <v>#N/A</v>
      </c>
      <c r="Z90" s="1122" t="e">
        <f>IF('Regulação de polinização'!P$105&gt;$AA90,0, 'Apoio Regulação de Polinização'!Z33*2.7183^(-'Regulação de polinização'!P$105/$AA90))</f>
        <v>#N/A</v>
      </c>
      <c r="AA90" s="1128" t="e">
        <f>'Apoio Regulação de Polinização'!AA33</f>
        <v>#N/A</v>
      </c>
    </row>
    <row r="91" spans="1:36">
      <c r="C91" s="5" t="s">
        <v>1442</v>
      </c>
      <c r="N91" s="1121">
        <f>'Apoio Regulação de Polinização'!N34</f>
        <v>0</v>
      </c>
      <c r="O91" s="1122" t="e">
        <f>IF('Regulação de polinização'!E$105&gt;$AA91,0, 'Apoio Regulação de Polinização'!O34*2.7183^(-'Regulação de polinização'!E$105/$AA91))</f>
        <v>#N/A</v>
      </c>
      <c r="P91" s="1122" t="e">
        <f>IF('Regulação de polinização'!F$105&gt;$AA91,0, 'Apoio Regulação de Polinização'!P34*2.7183^(-'Regulação de polinização'!F$105/$AA91))</f>
        <v>#N/A</v>
      </c>
      <c r="Q91" s="1122" t="e">
        <f>IF('Regulação de polinização'!G$105&gt;$AA91,0, 'Apoio Regulação de Polinização'!Q34*2.7183^(-'Regulação de polinização'!G$105/$AA91))</f>
        <v>#N/A</v>
      </c>
      <c r="R91" s="1122" t="e">
        <f>IF('Regulação de polinização'!H$105&gt;$AA91,0, 'Apoio Regulação de Polinização'!R34*2.7183^(-'Regulação de polinização'!H$105/$AA91))</f>
        <v>#N/A</v>
      </c>
      <c r="S91" s="1122" t="e">
        <f>IF('Regulação de polinização'!I$105&gt;$AA91,0, 'Apoio Regulação de Polinização'!S34*2.7183^(-'Regulação de polinização'!I$105/$AA91))</f>
        <v>#N/A</v>
      </c>
      <c r="T91" s="1122" t="e">
        <f>IF('Regulação de polinização'!J$105&gt;$AA91,0, 'Apoio Regulação de Polinização'!T34*2.7183^(-'Regulação de polinização'!J$105/$AA91))</f>
        <v>#N/A</v>
      </c>
      <c r="U91" s="1122" t="e">
        <f>IF('Regulação de polinização'!K$105&gt;$AA91,0, 'Apoio Regulação de Polinização'!U34*2.7183^(-'Regulação de polinização'!K$105/$AA91))</f>
        <v>#N/A</v>
      </c>
      <c r="V91" s="1122" t="e">
        <f>IF('Regulação de polinização'!L$105&gt;$AA91,0, 'Apoio Regulação de Polinização'!V34*2.7183^(-'Regulação de polinização'!L$105/$AA91))</f>
        <v>#N/A</v>
      </c>
      <c r="W91" s="1122" t="e">
        <f>IF('Regulação de polinização'!M$105&gt;$AA91,0, 'Apoio Regulação de Polinização'!W34*2.7183^(-'Regulação de polinização'!M$105/$AA91))</f>
        <v>#N/A</v>
      </c>
      <c r="X91" s="1122" t="e">
        <f>IF('Regulação de polinização'!N$105&gt;$AA91,0, 'Apoio Regulação de Polinização'!X34*2.7183^(-'Regulação de polinização'!N$105/$AA91))</f>
        <v>#N/A</v>
      </c>
      <c r="Y91" s="1122" t="e">
        <f>IF('Regulação de polinização'!O$105&gt;$AA91,0, 'Apoio Regulação de Polinização'!Y34*2.7183^(-'Regulação de polinização'!O$105/$AA91))</f>
        <v>#N/A</v>
      </c>
      <c r="Z91" s="1122" t="e">
        <f>IF('Regulação de polinização'!P$105&gt;$AA91,0, 'Apoio Regulação de Polinização'!Z34*2.7183^(-'Regulação de polinização'!P$105/$AA91))</f>
        <v>#N/A</v>
      </c>
      <c r="AA91" s="1128" t="e">
        <f>'Apoio Regulação de Polinização'!AA34</f>
        <v>#N/A</v>
      </c>
    </row>
    <row r="92" spans="1:36">
      <c r="A92" s="5">
        <v>6</v>
      </c>
      <c r="B92" s="5" t="s">
        <v>925</v>
      </c>
      <c r="N92" s="1121">
        <f>'Apoio Regulação de Polinização'!N35</f>
        <v>0</v>
      </c>
      <c r="O92" s="1122" t="e">
        <f>IF('Regulação de polinização'!E$105&gt;$AA92,0, 'Apoio Regulação de Polinização'!O35*2.7183^(-'Regulação de polinização'!E$105/$AA92))</f>
        <v>#N/A</v>
      </c>
      <c r="P92" s="1122" t="e">
        <f>IF('Regulação de polinização'!F$105&gt;$AA92,0, 'Apoio Regulação de Polinização'!P35*2.7183^(-'Regulação de polinização'!F$105/$AA92))</f>
        <v>#N/A</v>
      </c>
      <c r="Q92" s="1122" t="e">
        <f>IF('Regulação de polinização'!G$105&gt;$AA92,0, 'Apoio Regulação de Polinização'!Q35*2.7183^(-'Regulação de polinização'!G$105/$AA92))</f>
        <v>#N/A</v>
      </c>
      <c r="R92" s="1122" t="e">
        <f>IF('Regulação de polinização'!H$105&gt;$AA92,0, 'Apoio Regulação de Polinização'!R35*2.7183^(-'Regulação de polinização'!H$105/$AA92))</f>
        <v>#N/A</v>
      </c>
      <c r="S92" s="1122" t="e">
        <f>IF('Regulação de polinização'!I$105&gt;$AA92,0, 'Apoio Regulação de Polinização'!S35*2.7183^(-'Regulação de polinização'!I$105/$AA92))</f>
        <v>#N/A</v>
      </c>
      <c r="T92" s="1122" t="e">
        <f>IF('Regulação de polinização'!J$105&gt;$AA92,0, 'Apoio Regulação de Polinização'!T35*2.7183^(-'Regulação de polinização'!J$105/$AA92))</f>
        <v>#N/A</v>
      </c>
      <c r="U92" s="1122" t="e">
        <f>IF('Regulação de polinização'!K$105&gt;$AA92,0, 'Apoio Regulação de Polinização'!U35*2.7183^(-'Regulação de polinização'!K$105/$AA92))</f>
        <v>#N/A</v>
      </c>
      <c r="V92" s="1122" t="e">
        <f>IF('Regulação de polinização'!L$105&gt;$AA92,0, 'Apoio Regulação de Polinização'!V35*2.7183^(-'Regulação de polinização'!L$105/$AA92))</f>
        <v>#N/A</v>
      </c>
      <c r="W92" s="1122" t="e">
        <f>IF('Regulação de polinização'!M$105&gt;$AA92,0, 'Apoio Regulação de Polinização'!W35*2.7183^(-'Regulação de polinização'!M$105/$AA92))</f>
        <v>#N/A</v>
      </c>
      <c r="X92" s="1122" t="e">
        <f>IF('Regulação de polinização'!N$105&gt;$AA92,0, 'Apoio Regulação de Polinização'!X35*2.7183^(-'Regulação de polinização'!N$105/$AA92))</f>
        <v>#N/A</v>
      </c>
      <c r="Y92" s="1122" t="e">
        <f>IF('Regulação de polinização'!O$105&gt;$AA92,0, 'Apoio Regulação de Polinização'!Y35*2.7183^(-'Regulação de polinização'!O$105/$AA92))</f>
        <v>#N/A</v>
      </c>
      <c r="Z92" s="1122" t="e">
        <f>IF('Regulação de polinização'!P$105&gt;$AA92,0, 'Apoio Regulação de Polinização'!Z35*2.7183^(-'Regulação de polinização'!P$105/$AA92))</f>
        <v>#N/A</v>
      </c>
      <c r="AA92" s="1128" t="e">
        <f>'Apoio Regulação de Polinização'!AA35</f>
        <v>#N/A</v>
      </c>
    </row>
    <row r="93" spans="1:36">
      <c r="C93" s="5" t="s">
        <v>926</v>
      </c>
      <c r="N93" s="1121">
        <f>'Apoio Regulação de Polinização'!N36</f>
        <v>0</v>
      </c>
      <c r="O93" s="1122" t="e">
        <f>IF('Regulação de polinização'!E$105&gt;$AA93,0, 'Apoio Regulação de Polinização'!O36*2.7183^(-'Regulação de polinização'!E$105/$AA93))</f>
        <v>#N/A</v>
      </c>
      <c r="P93" s="1122" t="e">
        <f>IF('Regulação de polinização'!F$105&gt;$AA93,0, 'Apoio Regulação de Polinização'!P36*2.7183^(-'Regulação de polinização'!F$105/$AA93))</f>
        <v>#N/A</v>
      </c>
      <c r="Q93" s="1122" t="e">
        <f>IF('Regulação de polinização'!G$105&gt;$AA93,0, 'Apoio Regulação de Polinização'!Q36*2.7183^(-'Regulação de polinização'!G$105/$AA93))</f>
        <v>#N/A</v>
      </c>
      <c r="R93" s="1122" t="e">
        <f>IF('Regulação de polinização'!H$105&gt;$AA93,0, 'Apoio Regulação de Polinização'!R36*2.7183^(-'Regulação de polinização'!H$105/$AA93))</f>
        <v>#N/A</v>
      </c>
      <c r="S93" s="1122" t="e">
        <f>IF('Regulação de polinização'!I$105&gt;$AA93,0, 'Apoio Regulação de Polinização'!S36*2.7183^(-'Regulação de polinização'!I$105/$AA93))</f>
        <v>#N/A</v>
      </c>
      <c r="T93" s="1122" t="e">
        <f>IF('Regulação de polinização'!J$105&gt;$AA93,0, 'Apoio Regulação de Polinização'!T36*2.7183^(-'Regulação de polinização'!J$105/$AA93))</f>
        <v>#N/A</v>
      </c>
      <c r="U93" s="1122" t="e">
        <f>IF('Regulação de polinização'!K$105&gt;$AA93,0, 'Apoio Regulação de Polinização'!U36*2.7183^(-'Regulação de polinização'!K$105/$AA93))</f>
        <v>#N/A</v>
      </c>
      <c r="V93" s="1122" t="e">
        <f>IF('Regulação de polinização'!L$105&gt;$AA93,0, 'Apoio Regulação de Polinização'!V36*2.7183^(-'Regulação de polinização'!L$105/$AA93))</f>
        <v>#N/A</v>
      </c>
      <c r="W93" s="1122" t="e">
        <f>IF('Regulação de polinização'!M$105&gt;$AA93,0, 'Apoio Regulação de Polinização'!W36*2.7183^(-'Regulação de polinização'!M$105/$AA93))</f>
        <v>#N/A</v>
      </c>
      <c r="X93" s="1122" t="e">
        <f>IF('Regulação de polinização'!N$105&gt;$AA93,0, 'Apoio Regulação de Polinização'!X36*2.7183^(-'Regulação de polinização'!N$105/$AA93))</f>
        <v>#N/A</v>
      </c>
      <c r="Y93" s="1122" t="e">
        <f>IF('Regulação de polinização'!O$105&gt;$AA93,0, 'Apoio Regulação de Polinização'!Y36*2.7183^(-'Regulação de polinização'!O$105/$AA93))</f>
        <v>#N/A</v>
      </c>
      <c r="Z93" s="1122" t="e">
        <f>IF('Regulação de polinização'!P$105&gt;$AA93,0, 'Apoio Regulação de Polinização'!Z36*2.7183^(-'Regulação de polinização'!P$105/$AA93))</f>
        <v>#N/A</v>
      </c>
      <c r="AA93" s="1128" t="e">
        <f>'Apoio Regulação de Polinização'!AA36</f>
        <v>#N/A</v>
      </c>
    </row>
    <row r="94" spans="1:36">
      <c r="A94" s="5">
        <v>7</v>
      </c>
      <c r="B94" s="5" t="s">
        <v>927</v>
      </c>
      <c r="C94" s="5" t="s">
        <v>928</v>
      </c>
      <c r="N94" s="1121">
        <f>'Apoio Regulação de Polinização'!N37</f>
        <v>0</v>
      </c>
      <c r="O94" s="1122" t="e">
        <f>IF('Regulação de polinização'!E$105&gt;$AA94,0, 'Apoio Regulação de Polinização'!O37*2.7183^(-'Regulação de polinização'!E$105/$AA94))</f>
        <v>#N/A</v>
      </c>
      <c r="P94" s="1122" t="e">
        <f>IF('Regulação de polinização'!F$105&gt;$AA94,0, 'Apoio Regulação de Polinização'!P37*2.7183^(-'Regulação de polinização'!F$105/$AA94))</f>
        <v>#N/A</v>
      </c>
      <c r="Q94" s="1122" t="e">
        <f>IF('Regulação de polinização'!G$105&gt;$AA94,0, 'Apoio Regulação de Polinização'!Q37*2.7183^(-'Regulação de polinização'!G$105/$AA94))</f>
        <v>#N/A</v>
      </c>
      <c r="R94" s="1122" t="e">
        <f>IF('Regulação de polinização'!H$105&gt;$AA94,0, 'Apoio Regulação de Polinização'!R37*2.7183^(-'Regulação de polinização'!H$105/$AA94))</f>
        <v>#N/A</v>
      </c>
      <c r="S94" s="1122" t="e">
        <f>IF('Regulação de polinização'!I$105&gt;$AA94,0, 'Apoio Regulação de Polinização'!S37*2.7183^(-'Regulação de polinização'!I$105/$AA94))</f>
        <v>#N/A</v>
      </c>
      <c r="T94" s="1122" t="e">
        <f>IF('Regulação de polinização'!J$105&gt;$AA94,0, 'Apoio Regulação de Polinização'!T37*2.7183^(-'Regulação de polinização'!J$105/$AA94))</f>
        <v>#N/A</v>
      </c>
      <c r="U94" s="1122" t="e">
        <f>IF('Regulação de polinização'!K$105&gt;$AA94,0, 'Apoio Regulação de Polinização'!U37*2.7183^(-'Regulação de polinização'!K$105/$AA94))</f>
        <v>#N/A</v>
      </c>
      <c r="V94" s="1122" t="e">
        <f>IF('Regulação de polinização'!L$105&gt;$AA94,0, 'Apoio Regulação de Polinização'!V37*2.7183^(-'Regulação de polinização'!L$105/$AA94))</f>
        <v>#N/A</v>
      </c>
      <c r="W94" s="1122" t="e">
        <f>IF('Regulação de polinização'!M$105&gt;$AA94,0, 'Apoio Regulação de Polinização'!W37*2.7183^(-'Regulação de polinização'!M$105/$AA94))</f>
        <v>#N/A</v>
      </c>
      <c r="X94" s="1122" t="e">
        <f>IF('Regulação de polinização'!N$105&gt;$AA94,0, 'Apoio Regulação de Polinização'!X37*2.7183^(-'Regulação de polinização'!N$105/$AA94))</f>
        <v>#N/A</v>
      </c>
      <c r="Y94" s="1122" t="e">
        <f>IF('Regulação de polinização'!O$105&gt;$AA94,0, 'Apoio Regulação de Polinização'!Y37*2.7183^(-'Regulação de polinização'!O$105/$AA94))</f>
        <v>#N/A</v>
      </c>
      <c r="Z94" s="1122" t="e">
        <f>IF('Regulação de polinização'!P$105&gt;$AA94,0, 'Apoio Regulação de Polinização'!Z37*2.7183^(-'Regulação de polinização'!P$105/$AA94))</f>
        <v>#N/A</v>
      </c>
      <c r="AA94" s="1128" t="e">
        <f>'Apoio Regulação de Polinização'!AA37</f>
        <v>#N/A</v>
      </c>
    </row>
    <row r="95" spans="1:36" ht="15" thickBot="1">
      <c r="C95" s="5" t="s">
        <v>929</v>
      </c>
      <c r="N95" s="1123">
        <f>'Apoio Regulação de Polinização'!N38</f>
        <v>0</v>
      </c>
      <c r="O95" s="1124" t="e">
        <f>IF('Regulação de polinização'!E$105&gt;$AA95,0, 'Apoio Regulação de Polinização'!O38*2.7183^(-'Regulação de polinização'!E$105/$AA95))</f>
        <v>#N/A</v>
      </c>
      <c r="P95" s="1124" t="e">
        <f>IF('Regulação de polinização'!F$105&gt;$AA95,0, 'Apoio Regulação de Polinização'!P38*2.7183^(-'Regulação de polinização'!F$105/$AA95))</f>
        <v>#N/A</v>
      </c>
      <c r="Q95" s="1124" t="e">
        <f>IF('Regulação de polinização'!G$105&gt;$AA95,0, 'Apoio Regulação de Polinização'!Q38*2.7183^(-'Regulação de polinização'!G$105/$AA95))</f>
        <v>#N/A</v>
      </c>
      <c r="R95" s="1124" t="e">
        <f>IF('Regulação de polinização'!H$105&gt;$AA95,0, 'Apoio Regulação de Polinização'!R38*2.7183^(-'Regulação de polinização'!H$105/$AA95))</f>
        <v>#N/A</v>
      </c>
      <c r="S95" s="1124" t="e">
        <f>IF('Regulação de polinização'!I$105&gt;$AA95,0, 'Apoio Regulação de Polinização'!S38*2.7183^(-'Regulação de polinização'!I$105/$AA95))</f>
        <v>#N/A</v>
      </c>
      <c r="T95" s="1124" t="e">
        <f>IF('Regulação de polinização'!J$105&gt;$AA95,0, 'Apoio Regulação de Polinização'!T38*2.7183^(-'Regulação de polinização'!J$105/$AA95))</f>
        <v>#N/A</v>
      </c>
      <c r="U95" s="1124" t="e">
        <f>IF('Regulação de polinização'!K$105&gt;$AA95,0, 'Apoio Regulação de Polinização'!U38*2.7183^(-'Regulação de polinização'!K$105/$AA95))</f>
        <v>#N/A</v>
      </c>
      <c r="V95" s="1124" t="e">
        <f>IF('Regulação de polinização'!L$105&gt;$AA95,0, 'Apoio Regulação de Polinização'!V38*2.7183^(-'Regulação de polinização'!L$105/$AA95))</f>
        <v>#N/A</v>
      </c>
      <c r="W95" s="1124" t="e">
        <f>IF('Regulação de polinização'!M$105&gt;$AA95,0, 'Apoio Regulação de Polinização'!W38*2.7183^(-'Regulação de polinização'!M$105/$AA95))</f>
        <v>#N/A</v>
      </c>
      <c r="X95" s="1124" t="e">
        <f>IF('Regulação de polinização'!N$105&gt;$AA95,0, 'Apoio Regulação de Polinização'!X38*2.7183^(-'Regulação de polinização'!N$105/$AA95))</f>
        <v>#N/A</v>
      </c>
      <c r="Y95" s="1124" t="e">
        <f>IF('Regulação de polinização'!O$105&gt;$AA95,0, 'Apoio Regulação de Polinização'!Y38*2.7183^(-'Regulação de polinização'!O$105/$AA95))</f>
        <v>#N/A</v>
      </c>
      <c r="Z95" s="1124" t="e">
        <f>IF('Regulação de polinização'!P$105&gt;$AA95,0, 'Apoio Regulação de Polinização'!Z38*2.7183^(-'Regulação de polinização'!P$105/$AA95))</f>
        <v>#N/A</v>
      </c>
      <c r="AA95" s="1129" t="e">
        <f>'Apoio Regulação de Polinização'!AA38</f>
        <v>#N/A</v>
      </c>
    </row>
    <row r="96" spans="1:36" ht="15" thickTop="1">
      <c r="C96" s="5" t="s">
        <v>930</v>
      </c>
      <c r="N96" s="1121">
        <f>'Apoio Regulação de Polinização'!N39</f>
        <v>0</v>
      </c>
      <c r="O96" s="1122" t="e">
        <f>IF('Regulação de polinização'!E$105&gt;$AA96,0, 'Apoio Regulação de Polinização'!O39*2.7183^(-'Regulação de polinização'!E$105/$AA96))</f>
        <v>#NUM!</v>
      </c>
      <c r="P96" s="1122" t="e">
        <f>IF('Regulação de polinização'!F$105&gt;$AA96,0, 'Apoio Regulação de Polinização'!P39*2.7183^(-'Regulação de polinização'!F$105/$AA96))</f>
        <v>#NUM!</v>
      </c>
      <c r="Q96" s="1122" t="e">
        <f>IF('Regulação de polinização'!G$105&gt;$AA96,0, 'Apoio Regulação de Polinização'!Q39*2.7183^(-'Regulação de polinização'!G$105/$AA96))</f>
        <v>#NUM!</v>
      </c>
      <c r="R96" s="1122" t="e">
        <f>IF('Regulação de polinização'!H$105&gt;$AA96,0, 'Apoio Regulação de Polinização'!R39*2.7183^(-'Regulação de polinização'!H$105/$AA96))</f>
        <v>#NUM!</v>
      </c>
      <c r="S96" s="1122" t="e">
        <f>IF('Regulação de polinização'!I$105&gt;$AA96,0, 'Apoio Regulação de Polinização'!S39*2.7183^(-'Regulação de polinização'!I$105/$AA96))</f>
        <v>#NUM!</v>
      </c>
      <c r="T96" s="1122" t="e">
        <f>IF('Regulação de polinização'!J$105&gt;$AA96,0, 'Apoio Regulação de Polinização'!T39*2.7183^(-'Regulação de polinização'!J$105/$AA96))</f>
        <v>#NUM!</v>
      </c>
      <c r="U96" s="1122" t="e">
        <f>IF('Regulação de polinização'!K$105&gt;$AA96,0, 'Apoio Regulação de Polinização'!U39*2.7183^(-'Regulação de polinização'!K$105/$AA96))</f>
        <v>#NUM!</v>
      </c>
      <c r="V96" s="1122" t="e">
        <f>IF('Regulação de polinização'!L$105&gt;$AA96,0, 'Apoio Regulação de Polinização'!V39*2.7183^(-'Regulação de polinização'!L$105/$AA96))</f>
        <v>#NUM!</v>
      </c>
      <c r="W96" s="1122" t="e">
        <f>IF('Regulação de polinização'!M$105&gt;$AA96,0, 'Apoio Regulação de Polinização'!W39*2.7183^(-'Regulação de polinização'!M$105/$AA96))</f>
        <v>#NUM!</v>
      </c>
      <c r="X96" s="1122" t="e">
        <f>IF('Regulação de polinização'!N$105&gt;$AA96,0, 'Apoio Regulação de Polinização'!X39*2.7183^(-'Regulação de polinização'!N$105/$AA96))</f>
        <v>#NUM!</v>
      </c>
      <c r="Y96" s="1122" t="e">
        <f>IF('Regulação de polinização'!O$105&gt;$AA96,0, 'Apoio Regulação de Polinização'!Y39*2.7183^(-'Regulação de polinização'!O$105/$AA96))</f>
        <v>#NUM!</v>
      </c>
      <c r="Z96" s="1122" t="e">
        <f>IF('Regulação de polinização'!P$105&gt;$AA96,0, 'Apoio Regulação de Polinização'!Z39*2.7183^(-'Regulação de polinização'!P$105/$AA96))</f>
        <v>#NUM!</v>
      </c>
      <c r="AA96" s="1128" t="e">
        <f>'Apoio Regulação de Polinização'!AA39</f>
        <v>#NUM!</v>
      </c>
    </row>
    <row r="97" spans="2:30">
      <c r="N97" s="1121">
        <f>'Apoio Regulação de Polinização'!N40</f>
        <v>0</v>
      </c>
      <c r="O97" s="1122" t="e">
        <f>IF('Regulação de polinização'!E$105&gt;$AA97,0, 'Apoio Regulação de Polinização'!O40*2.7183^(-'Regulação de polinização'!E$105/$AA97))</f>
        <v>#NUM!</v>
      </c>
      <c r="P97" s="1122" t="e">
        <f>IF('Regulação de polinização'!F$105&gt;$AA97,0, 'Apoio Regulação de Polinização'!P40*2.7183^(-'Regulação de polinização'!F$105/$AA97))</f>
        <v>#NUM!</v>
      </c>
      <c r="Q97" s="1122" t="e">
        <f>IF('Regulação de polinização'!G$105&gt;$AA97,0, 'Apoio Regulação de Polinização'!Q40*2.7183^(-'Regulação de polinização'!G$105/$AA97))</f>
        <v>#NUM!</v>
      </c>
      <c r="R97" s="1122" t="e">
        <f>IF('Regulação de polinização'!H$105&gt;$AA97,0, 'Apoio Regulação de Polinização'!R40*2.7183^(-'Regulação de polinização'!H$105/$AA97))</f>
        <v>#NUM!</v>
      </c>
      <c r="S97" s="1122" t="e">
        <f>IF('Regulação de polinização'!I$105&gt;$AA97,0, 'Apoio Regulação de Polinização'!S40*2.7183^(-'Regulação de polinização'!I$105/$AA97))</f>
        <v>#NUM!</v>
      </c>
      <c r="T97" s="1122" t="e">
        <f>IF('Regulação de polinização'!J$105&gt;$AA97,0, 'Apoio Regulação de Polinização'!T40*2.7183^(-'Regulação de polinização'!J$105/$AA97))</f>
        <v>#NUM!</v>
      </c>
      <c r="U97" s="1122" t="e">
        <f>IF('Regulação de polinização'!K$105&gt;$AA97,0, 'Apoio Regulação de Polinização'!U40*2.7183^(-'Regulação de polinização'!K$105/$AA97))</f>
        <v>#NUM!</v>
      </c>
      <c r="V97" s="1122" t="e">
        <f>IF('Regulação de polinização'!L$105&gt;$AA97,0, 'Apoio Regulação de Polinização'!V40*2.7183^(-'Regulação de polinização'!L$105/$AA97))</f>
        <v>#NUM!</v>
      </c>
      <c r="W97" s="1122" t="e">
        <f>IF('Regulação de polinização'!M$105&gt;$AA97,0, 'Apoio Regulação de Polinização'!W40*2.7183^(-'Regulação de polinização'!M$105/$AA97))</f>
        <v>#NUM!</v>
      </c>
      <c r="X97" s="1122" t="e">
        <f>IF('Regulação de polinização'!N$105&gt;$AA97,0, 'Apoio Regulação de Polinização'!X40*2.7183^(-'Regulação de polinização'!N$105/$AA97))</f>
        <v>#NUM!</v>
      </c>
      <c r="Y97" s="1122" t="e">
        <f>IF('Regulação de polinização'!O$105&gt;$AA97,0, 'Apoio Regulação de Polinização'!Y40*2.7183^(-'Regulação de polinização'!O$105/$AA97))</f>
        <v>#NUM!</v>
      </c>
      <c r="Z97" s="1122" t="e">
        <f>IF('Regulação de polinização'!P$105&gt;$AA97,0, 'Apoio Regulação de Polinização'!Z40*2.7183^(-'Regulação de polinização'!P$105/$AA97))</f>
        <v>#NUM!</v>
      </c>
      <c r="AA97" s="1128" t="e">
        <f>'Apoio Regulação de Polinização'!AA40</f>
        <v>#NUM!</v>
      </c>
    </row>
    <row r="98" spans="2:30">
      <c r="N98" s="1121">
        <f>'Apoio Regulação de Polinização'!N41</f>
        <v>0</v>
      </c>
      <c r="O98" s="1122" t="e">
        <f>IF('Regulação de polinização'!E$105&gt;$AA98,0, 'Apoio Regulação de Polinização'!O41*2.7183^(-'Regulação de polinização'!E$105/$AA98))</f>
        <v>#NUM!</v>
      </c>
      <c r="P98" s="1122" t="e">
        <f>IF('Regulação de polinização'!F$105&gt;$AA98,0, 'Apoio Regulação de Polinização'!P41*2.7183^(-'Regulação de polinização'!F$105/$AA98))</f>
        <v>#NUM!</v>
      </c>
      <c r="Q98" s="1122" t="e">
        <f>IF('Regulação de polinização'!G$105&gt;$AA98,0, 'Apoio Regulação de Polinização'!Q41*2.7183^(-'Regulação de polinização'!G$105/$AA98))</f>
        <v>#NUM!</v>
      </c>
      <c r="R98" s="1122" t="e">
        <f>IF('Regulação de polinização'!H$105&gt;$AA98,0, 'Apoio Regulação de Polinização'!R41*2.7183^(-'Regulação de polinização'!H$105/$AA98))</f>
        <v>#NUM!</v>
      </c>
      <c r="S98" s="1122" t="e">
        <f>IF('Regulação de polinização'!I$105&gt;$AA98,0, 'Apoio Regulação de Polinização'!S41*2.7183^(-'Regulação de polinização'!I$105/$AA98))</f>
        <v>#NUM!</v>
      </c>
      <c r="T98" s="1122" t="e">
        <f>IF('Regulação de polinização'!J$105&gt;$AA98,0, 'Apoio Regulação de Polinização'!T41*2.7183^(-'Regulação de polinização'!J$105/$AA98))</f>
        <v>#NUM!</v>
      </c>
      <c r="U98" s="1122" t="e">
        <f>IF('Regulação de polinização'!K$105&gt;$AA98,0, 'Apoio Regulação de Polinização'!U41*2.7183^(-'Regulação de polinização'!K$105/$AA98))</f>
        <v>#NUM!</v>
      </c>
      <c r="V98" s="1122" t="e">
        <f>IF('Regulação de polinização'!L$105&gt;$AA98,0, 'Apoio Regulação de Polinização'!V41*2.7183^(-'Regulação de polinização'!L$105/$AA98))</f>
        <v>#NUM!</v>
      </c>
      <c r="W98" s="1122" t="e">
        <f>IF('Regulação de polinização'!M$105&gt;$AA98,0, 'Apoio Regulação de Polinização'!W41*2.7183^(-'Regulação de polinização'!M$105/$AA98))</f>
        <v>#NUM!</v>
      </c>
      <c r="X98" s="1122" t="e">
        <f>IF('Regulação de polinização'!N$105&gt;$AA98,0, 'Apoio Regulação de Polinização'!X41*2.7183^(-'Regulação de polinização'!N$105/$AA98))</f>
        <v>#NUM!</v>
      </c>
      <c r="Y98" s="1122" t="e">
        <f>IF('Regulação de polinização'!O$105&gt;$AA98,0, 'Apoio Regulação de Polinização'!Y41*2.7183^(-'Regulação de polinização'!O$105/$AA98))</f>
        <v>#NUM!</v>
      </c>
      <c r="Z98" s="1122" t="e">
        <f>IF('Regulação de polinização'!P$105&gt;$AA98,0, 'Apoio Regulação de Polinização'!Z41*2.7183^(-'Regulação de polinização'!P$105/$AA98))</f>
        <v>#NUM!</v>
      </c>
      <c r="AA98" s="1128" t="e">
        <f>'Apoio Regulação de Polinização'!AA41</f>
        <v>#NUM!</v>
      </c>
    </row>
    <row r="99" spans="2:30">
      <c r="B99" s="1147" t="s">
        <v>1514</v>
      </c>
      <c r="C99" s="1148"/>
      <c r="D99" s="1148"/>
      <c r="N99" s="1121">
        <f>'Apoio Regulação de Polinização'!N42</f>
        <v>0</v>
      </c>
      <c r="O99" s="1122" t="e">
        <f>IF('Regulação de polinização'!E$105&gt;$AA99,0, 'Apoio Regulação de Polinização'!O42*2.7183^(-'Regulação de polinização'!E$105/$AA99))</f>
        <v>#NUM!</v>
      </c>
      <c r="P99" s="1122" t="e">
        <f>IF('Regulação de polinização'!F$105&gt;$AA99,0, 'Apoio Regulação de Polinização'!P42*2.7183^(-'Regulação de polinização'!F$105/$AA99))</f>
        <v>#NUM!</v>
      </c>
      <c r="Q99" s="1122" t="e">
        <f>IF('Regulação de polinização'!G$105&gt;$AA99,0, 'Apoio Regulação de Polinização'!Q42*2.7183^(-'Regulação de polinização'!G$105/$AA99))</f>
        <v>#NUM!</v>
      </c>
      <c r="R99" s="1122" t="e">
        <f>IF('Regulação de polinização'!H$105&gt;$AA99,0, 'Apoio Regulação de Polinização'!R42*2.7183^(-'Regulação de polinização'!H$105/$AA99))</f>
        <v>#NUM!</v>
      </c>
      <c r="S99" s="1122" t="e">
        <f>IF('Regulação de polinização'!I$105&gt;$AA99,0, 'Apoio Regulação de Polinização'!S42*2.7183^(-'Regulação de polinização'!I$105/$AA99))</f>
        <v>#NUM!</v>
      </c>
      <c r="T99" s="1122" t="e">
        <f>IF('Regulação de polinização'!J$105&gt;$AA99,0, 'Apoio Regulação de Polinização'!T42*2.7183^(-'Regulação de polinização'!J$105/$AA99))</f>
        <v>#NUM!</v>
      </c>
      <c r="U99" s="1122" t="e">
        <f>IF('Regulação de polinização'!K$105&gt;$AA99,0, 'Apoio Regulação de Polinização'!U42*2.7183^(-'Regulação de polinização'!K$105/$AA99))</f>
        <v>#NUM!</v>
      </c>
      <c r="V99" s="1122" t="e">
        <f>IF('Regulação de polinização'!L$105&gt;$AA99,0, 'Apoio Regulação de Polinização'!V42*2.7183^(-'Regulação de polinização'!L$105/$AA99))</f>
        <v>#NUM!</v>
      </c>
      <c r="W99" s="1122" t="e">
        <f>IF('Regulação de polinização'!M$105&gt;$AA99,0, 'Apoio Regulação de Polinização'!W42*2.7183^(-'Regulação de polinização'!M$105/$AA99))</f>
        <v>#NUM!</v>
      </c>
      <c r="X99" s="1122" t="e">
        <f>IF('Regulação de polinização'!N$105&gt;$AA99,0, 'Apoio Regulação de Polinização'!X42*2.7183^(-'Regulação de polinização'!N$105/$AA99))</f>
        <v>#NUM!</v>
      </c>
      <c r="Y99" s="1122" t="e">
        <f>IF('Regulação de polinização'!O$105&gt;$AA99,0, 'Apoio Regulação de Polinização'!Y42*2.7183^(-'Regulação de polinização'!O$105/$AA99))</f>
        <v>#NUM!</v>
      </c>
      <c r="Z99" s="1122" t="e">
        <f>IF('Regulação de polinização'!P$105&gt;$AA99,0, 'Apoio Regulação de Polinização'!Z42*2.7183^(-'Regulação de polinização'!P$105/$AA99))</f>
        <v>#NUM!</v>
      </c>
      <c r="AA99" s="1128" t="e">
        <f>'Apoio Regulação de Polinização'!AA42</f>
        <v>#NUM!</v>
      </c>
    </row>
    <row r="100" spans="2:30" ht="15" thickBot="1">
      <c r="B100" s="1116" t="s">
        <v>673</v>
      </c>
      <c r="C100" s="1116" t="s">
        <v>674</v>
      </c>
      <c r="D100" s="1116" t="s">
        <v>675</v>
      </c>
      <c r="E100" s="2023" t="s">
        <v>676</v>
      </c>
      <c r="F100" s="2023"/>
      <c r="G100" s="2023"/>
      <c r="H100" s="2023"/>
      <c r="I100" s="2023"/>
      <c r="J100" s="1116" t="s">
        <v>677</v>
      </c>
      <c r="K100" s="1117" t="s">
        <v>658</v>
      </c>
      <c r="N100" s="1121">
        <f>'Apoio Regulação de Polinização'!N43</f>
        <v>0</v>
      </c>
      <c r="O100" s="1122" t="e">
        <f>IF('Regulação de polinização'!E$105&gt;$AA100,0, 'Apoio Regulação de Polinização'!O43*2.7183^(-'Regulação de polinização'!E$105/$AA100))</f>
        <v>#NUM!</v>
      </c>
      <c r="P100" s="1122" t="e">
        <f>IF('Regulação de polinização'!F$105&gt;$AA100,0, 'Apoio Regulação de Polinização'!P43*2.7183^(-'Regulação de polinização'!F$105/$AA100))</f>
        <v>#NUM!</v>
      </c>
      <c r="Q100" s="1122" t="e">
        <f>IF('Regulação de polinização'!G$105&gt;$AA100,0, 'Apoio Regulação de Polinização'!Q43*2.7183^(-'Regulação de polinização'!G$105/$AA100))</f>
        <v>#NUM!</v>
      </c>
      <c r="R100" s="1122" t="e">
        <f>IF('Regulação de polinização'!H$105&gt;$AA100,0, 'Apoio Regulação de Polinização'!R43*2.7183^(-'Regulação de polinização'!H$105/$AA100))</f>
        <v>#NUM!</v>
      </c>
      <c r="S100" s="1122" t="e">
        <f>IF('Regulação de polinização'!I$105&gt;$AA100,0, 'Apoio Regulação de Polinização'!S43*2.7183^(-'Regulação de polinização'!I$105/$AA100))</f>
        <v>#NUM!</v>
      </c>
      <c r="T100" s="1122" t="e">
        <f>IF('Regulação de polinização'!J$105&gt;$AA100,0, 'Apoio Regulação de Polinização'!T43*2.7183^(-'Regulação de polinização'!J$105/$AA100))</f>
        <v>#NUM!</v>
      </c>
      <c r="U100" s="1122" t="e">
        <f>IF('Regulação de polinização'!K$105&gt;$AA100,0, 'Apoio Regulação de Polinização'!U43*2.7183^(-'Regulação de polinização'!K$105/$AA100))</f>
        <v>#NUM!</v>
      </c>
      <c r="V100" s="1122" t="e">
        <f>IF('Regulação de polinização'!L$105&gt;$AA100,0, 'Apoio Regulação de Polinização'!V43*2.7183^(-'Regulação de polinização'!L$105/$AA100))</f>
        <v>#NUM!</v>
      </c>
      <c r="W100" s="1122" t="e">
        <f>IF('Regulação de polinização'!M$105&gt;$AA100,0, 'Apoio Regulação de Polinização'!W43*2.7183^(-'Regulação de polinização'!M$105/$AA100))</f>
        <v>#NUM!</v>
      </c>
      <c r="X100" s="1122" t="e">
        <f>IF('Regulação de polinização'!N$105&gt;$AA100,0, 'Apoio Regulação de Polinização'!X43*2.7183^(-'Regulação de polinização'!N$105/$AA100))</f>
        <v>#NUM!</v>
      </c>
      <c r="Y100" s="1122" t="e">
        <f>IF('Regulação de polinização'!O$105&gt;$AA100,0, 'Apoio Regulação de Polinização'!Y43*2.7183^(-'Regulação de polinização'!O$105/$AA100))</f>
        <v>#NUM!</v>
      </c>
      <c r="Z100" s="1122" t="e">
        <f>IF('Regulação de polinização'!P$105&gt;$AA100,0, 'Apoio Regulação de Polinização'!Z43*2.7183^(-'Regulação de polinização'!P$105/$AA100))</f>
        <v>#NUM!</v>
      </c>
      <c r="AA100" s="1128" t="e">
        <f>'Apoio Regulação de Polinização'!AA43</f>
        <v>#NUM!</v>
      </c>
    </row>
    <row r="101" spans="2:30" ht="15" thickTop="1">
      <c r="B101" s="2057" t="s">
        <v>678</v>
      </c>
      <c r="C101" s="2057" t="s">
        <v>661</v>
      </c>
      <c r="D101" s="2057" t="s">
        <v>661</v>
      </c>
      <c r="E101" s="2033" t="s">
        <v>1243</v>
      </c>
      <c r="F101" s="2033"/>
      <c r="G101" s="2033"/>
      <c r="H101" s="2033"/>
      <c r="I101" s="2033"/>
      <c r="J101" s="2057" t="s">
        <v>661</v>
      </c>
      <c r="K101" s="2057">
        <v>0.64</v>
      </c>
      <c r="N101" s="1121">
        <f>'Apoio Regulação de Polinização'!N44</f>
        <v>0</v>
      </c>
      <c r="O101" s="1122" t="e">
        <f>IF('Regulação de polinização'!E$105&gt;$AA101,0, 'Apoio Regulação de Polinização'!O44*2.7183^(-'Regulação de polinização'!E$105/$AA101))</f>
        <v>#NUM!</v>
      </c>
      <c r="P101" s="1122" t="e">
        <f>IF('Regulação de polinização'!F$105&gt;$AA101,0, 'Apoio Regulação de Polinização'!P44*2.7183^(-'Regulação de polinização'!F$105/$AA101))</f>
        <v>#NUM!</v>
      </c>
      <c r="Q101" s="1122" t="e">
        <f>IF('Regulação de polinização'!G$105&gt;$AA101,0, 'Apoio Regulação de Polinização'!Q44*2.7183^(-'Regulação de polinização'!G$105/$AA101))</f>
        <v>#NUM!</v>
      </c>
      <c r="R101" s="1122" t="e">
        <f>IF('Regulação de polinização'!H$105&gt;$AA101,0, 'Apoio Regulação de Polinização'!R44*2.7183^(-'Regulação de polinização'!H$105/$AA101))</f>
        <v>#NUM!</v>
      </c>
      <c r="S101" s="1122" t="e">
        <f>IF('Regulação de polinização'!I$105&gt;$AA101,0, 'Apoio Regulação de Polinização'!S44*2.7183^(-'Regulação de polinização'!I$105/$AA101))</f>
        <v>#NUM!</v>
      </c>
      <c r="T101" s="1122" t="e">
        <f>IF('Regulação de polinização'!J$105&gt;$AA101,0, 'Apoio Regulação de Polinização'!T44*2.7183^(-'Regulação de polinização'!J$105/$AA101))</f>
        <v>#NUM!</v>
      </c>
      <c r="U101" s="1122" t="e">
        <f>IF('Regulação de polinização'!K$105&gt;$AA101,0, 'Apoio Regulação de Polinização'!U44*2.7183^(-'Regulação de polinização'!K$105/$AA101))</f>
        <v>#NUM!</v>
      </c>
      <c r="V101" s="1122" t="e">
        <f>IF('Regulação de polinização'!L$105&gt;$AA101,0, 'Apoio Regulação de Polinização'!V44*2.7183^(-'Regulação de polinização'!L$105/$AA101))</f>
        <v>#NUM!</v>
      </c>
      <c r="W101" s="1122" t="e">
        <f>IF('Regulação de polinização'!M$105&gt;$AA101,0, 'Apoio Regulação de Polinização'!W44*2.7183^(-'Regulação de polinização'!M$105/$AA101))</f>
        <v>#NUM!</v>
      </c>
      <c r="X101" s="1122" t="e">
        <f>IF('Regulação de polinização'!N$105&gt;$AA101,0, 'Apoio Regulação de Polinização'!X44*2.7183^(-'Regulação de polinização'!N$105/$AA101))</f>
        <v>#NUM!</v>
      </c>
      <c r="Y101" s="1122" t="e">
        <f>IF('Regulação de polinização'!O$105&gt;$AA101,0, 'Apoio Regulação de Polinização'!Y44*2.7183^(-'Regulação de polinização'!O$105/$AA101))</f>
        <v>#NUM!</v>
      </c>
      <c r="Z101" s="1122" t="e">
        <f>IF('Regulação de polinização'!P$105&gt;$AA101,0, 'Apoio Regulação de Polinização'!Z44*2.7183^(-'Regulação de polinização'!P$105/$AA101))</f>
        <v>#NUM!</v>
      </c>
      <c r="AA101" s="1128" t="e">
        <f>'Apoio Regulação de Polinização'!AA44</f>
        <v>#NUM!</v>
      </c>
    </row>
    <row r="102" spans="2:30">
      <c r="B102" s="1964"/>
      <c r="C102" s="1964"/>
      <c r="D102" s="1964"/>
      <c r="E102" s="1968"/>
      <c r="F102" s="1968"/>
      <c r="G102" s="1968"/>
      <c r="H102" s="1968"/>
      <c r="I102" s="1968"/>
      <c r="J102" s="1964"/>
      <c r="K102" s="1964"/>
      <c r="N102" s="1121">
        <f>'Apoio Regulação de Polinização'!N45</f>
        <v>0</v>
      </c>
      <c r="O102" s="1122" t="e">
        <f>IF('Regulação de polinização'!E$105&gt;$AA102,0, 'Apoio Regulação de Polinização'!O45*2.7183^(-'Regulação de polinização'!E$105/$AA102))</f>
        <v>#NUM!</v>
      </c>
      <c r="P102" s="1122" t="e">
        <f>IF('Regulação de polinização'!F$105&gt;$AA102,0, 'Apoio Regulação de Polinização'!P45*2.7183^(-'Regulação de polinização'!F$105/$AA102))</f>
        <v>#NUM!</v>
      </c>
      <c r="Q102" s="1122" t="e">
        <f>IF('Regulação de polinização'!G$105&gt;$AA102,0, 'Apoio Regulação de Polinização'!Q45*2.7183^(-'Regulação de polinização'!G$105/$AA102))</f>
        <v>#NUM!</v>
      </c>
      <c r="R102" s="1122" t="e">
        <f>IF('Regulação de polinização'!H$105&gt;$AA102,0, 'Apoio Regulação de Polinização'!R45*2.7183^(-'Regulação de polinização'!H$105/$AA102))</f>
        <v>#NUM!</v>
      </c>
      <c r="S102" s="1122" t="e">
        <f>IF('Regulação de polinização'!I$105&gt;$AA102,0, 'Apoio Regulação de Polinização'!S45*2.7183^(-'Regulação de polinização'!I$105/$AA102))</f>
        <v>#NUM!</v>
      </c>
      <c r="T102" s="1122" t="e">
        <f>IF('Regulação de polinização'!J$105&gt;$AA102,0, 'Apoio Regulação de Polinização'!T45*2.7183^(-'Regulação de polinização'!J$105/$AA102))</f>
        <v>#NUM!</v>
      </c>
      <c r="U102" s="1122" t="e">
        <f>IF('Regulação de polinização'!K$105&gt;$AA102,0, 'Apoio Regulação de Polinização'!U45*2.7183^(-'Regulação de polinização'!K$105/$AA102))</f>
        <v>#NUM!</v>
      </c>
      <c r="V102" s="1122" t="e">
        <f>IF('Regulação de polinização'!L$105&gt;$AA102,0, 'Apoio Regulação de Polinização'!V45*2.7183^(-'Regulação de polinização'!L$105/$AA102))</f>
        <v>#NUM!</v>
      </c>
      <c r="W102" s="1122" t="e">
        <f>IF('Regulação de polinização'!M$105&gt;$AA102,0, 'Apoio Regulação de Polinização'!W45*2.7183^(-'Regulação de polinização'!M$105/$AA102))</f>
        <v>#NUM!</v>
      </c>
      <c r="X102" s="1122" t="e">
        <f>IF('Regulação de polinização'!N$105&gt;$AA102,0, 'Apoio Regulação de Polinização'!X45*2.7183^(-'Regulação de polinização'!N$105/$AA102))</f>
        <v>#NUM!</v>
      </c>
      <c r="Y102" s="1122" t="e">
        <f>IF('Regulação de polinização'!O$105&gt;$AA102,0, 'Apoio Regulação de Polinização'!Y45*2.7183^(-'Regulação de polinização'!O$105/$AA102))</f>
        <v>#NUM!</v>
      </c>
      <c r="Z102" s="1122" t="e">
        <f>IF('Regulação de polinização'!P$105&gt;$AA102,0, 'Apoio Regulação de Polinização'!Z45*2.7183^(-'Regulação de polinização'!P$105/$AA102))</f>
        <v>#NUM!</v>
      </c>
      <c r="AA102" s="1128" t="e">
        <f>'Apoio Regulação de Polinização'!AA45</f>
        <v>#NUM!</v>
      </c>
    </row>
    <row r="103" spans="2:30">
      <c r="B103" s="2018"/>
      <c r="C103" s="2018"/>
      <c r="D103" s="2018"/>
      <c r="E103" s="2032"/>
      <c r="F103" s="2032"/>
      <c r="G103" s="2032"/>
      <c r="H103" s="2032"/>
      <c r="I103" s="2032"/>
      <c r="J103" s="2018"/>
      <c r="K103" s="2018"/>
      <c r="N103" s="1121">
        <f>'Apoio Regulação de Polinização'!N46</f>
        <v>0</v>
      </c>
      <c r="O103" s="1122" t="e">
        <f>IF('Regulação de polinização'!E$105&gt;$AA103,0, 'Apoio Regulação de Polinização'!O46*2.7183^(-'Regulação de polinização'!E$105/$AA103))</f>
        <v>#NUM!</v>
      </c>
      <c r="P103" s="1122" t="e">
        <f>IF('Regulação de polinização'!F$105&gt;$AA103,0, 'Apoio Regulação de Polinização'!P46*2.7183^(-'Regulação de polinização'!F$105/$AA103))</f>
        <v>#NUM!</v>
      </c>
      <c r="Q103" s="1122" t="e">
        <f>IF('Regulação de polinização'!G$105&gt;$AA103,0, 'Apoio Regulação de Polinização'!Q46*2.7183^(-'Regulação de polinização'!G$105/$AA103))</f>
        <v>#NUM!</v>
      </c>
      <c r="R103" s="1122" t="e">
        <f>IF('Regulação de polinização'!H$105&gt;$AA103,0, 'Apoio Regulação de Polinização'!R46*2.7183^(-'Regulação de polinização'!H$105/$AA103))</f>
        <v>#NUM!</v>
      </c>
      <c r="S103" s="1122" t="e">
        <f>IF('Regulação de polinização'!I$105&gt;$AA103,0, 'Apoio Regulação de Polinização'!S46*2.7183^(-'Regulação de polinização'!I$105/$AA103))</f>
        <v>#NUM!</v>
      </c>
      <c r="T103" s="1122" t="e">
        <f>IF('Regulação de polinização'!J$105&gt;$AA103,0, 'Apoio Regulação de Polinização'!T46*2.7183^(-'Regulação de polinização'!J$105/$AA103))</f>
        <v>#NUM!</v>
      </c>
      <c r="U103" s="1122" t="e">
        <f>IF('Regulação de polinização'!K$105&gt;$AA103,0, 'Apoio Regulação de Polinização'!U46*2.7183^(-'Regulação de polinização'!K$105/$AA103))</f>
        <v>#NUM!</v>
      </c>
      <c r="V103" s="1122" t="e">
        <f>IF('Regulação de polinização'!L$105&gt;$AA103,0, 'Apoio Regulação de Polinização'!V46*2.7183^(-'Regulação de polinização'!L$105/$AA103))</f>
        <v>#NUM!</v>
      </c>
      <c r="W103" s="1122" t="e">
        <f>IF('Regulação de polinização'!M$105&gt;$AA103,0, 'Apoio Regulação de Polinização'!W46*2.7183^(-'Regulação de polinização'!M$105/$AA103))</f>
        <v>#NUM!</v>
      </c>
      <c r="X103" s="1122" t="e">
        <f>IF('Regulação de polinização'!N$105&gt;$AA103,0, 'Apoio Regulação de Polinização'!X46*2.7183^(-'Regulação de polinização'!N$105/$AA103))</f>
        <v>#NUM!</v>
      </c>
      <c r="Y103" s="1122" t="e">
        <f>IF('Regulação de polinização'!O$105&gt;$AA103,0, 'Apoio Regulação de Polinização'!Y46*2.7183^(-'Regulação de polinização'!O$105/$AA103))</f>
        <v>#NUM!</v>
      </c>
      <c r="Z103" s="1122" t="e">
        <f>IF('Regulação de polinização'!P$105&gt;$AA103,0, 'Apoio Regulação de Polinização'!Z46*2.7183^(-'Regulação de polinização'!P$105/$AA103))</f>
        <v>#NUM!</v>
      </c>
      <c r="AA103" s="1128" t="e">
        <f>'Apoio Regulação de Polinização'!AA46</f>
        <v>#NUM!</v>
      </c>
    </row>
    <row r="104" spans="2:30">
      <c r="B104" s="2017" t="s">
        <v>678</v>
      </c>
      <c r="C104" s="2017" t="s">
        <v>681</v>
      </c>
      <c r="D104" s="2014" t="s">
        <v>682</v>
      </c>
      <c r="E104" s="2031" t="s">
        <v>1277</v>
      </c>
      <c r="F104" s="2031"/>
      <c r="G104" s="2031"/>
      <c r="H104" s="2031"/>
      <c r="I104" s="2031"/>
      <c r="J104" s="2014" t="s">
        <v>680</v>
      </c>
      <c r="K104" s="2017">
        <v>0.71</v>
      </c>
      <c r="N104" s="1121">
        <f>'Apoio Regulação de Polinização'!N47</f>
        <v>0</v>
      </c>
      <c r="O104" s="1122" t="e">
        <f>IF('Regulação de polinização'!E$105&gt;$AA104,0, 'Apoio Regulação de Polinização'!O47*2.7183^(-'Regulação de polinização'!E$105/$AA104))</f>
        <v>#NUM!</v>
      </c>
      <c r="P104" s="1122" t="e">
        <f>IF('Regulação de polinização'!F$105&gt;$AA104,0, 'Apoio Regulação de Polinização'!P47*2.7183^(-'Regulação de polinização'!F$105/$AA104))</f>
        <v>#NUM!</v>
      </c>
      <c r="Q104" s="1122" t="e">
        <f>IF('Regulação de polinização'!G$105&gt;$AA104,0, 'Apoio Regulação de Polinização'!Q47*2.7183^(-'Regulação de polinização'!G$105/$AA104))</f>
        <v>#NUM!</v>
      </c>
      <c r="R104" s="1122" t="e">
        <f>IF('Regulação de polinização'!H$105&gt;$AA104,0, 'Apoio Regulação de Polinização'!R47*2.7183^(-'Regulação de polinização'!H$105/$AA104))</f>
        <v>#NUM!</v>
      </c>
      <c r="S104" s="1122" t="e">
        <f>IF('Regulação de polinização'!I$105&gt;$AA104,0, 'Apoio Regulação de Polinização'!S47*2.7183^(-'Regulação de polinização'!I$105/$AA104))</f>
        <v>#NUM!</v>
      </c>
      <c r="T104" s="1122" t="e">
        <f>IF('Regulação de polinização'!J$105&gt;$AA104,0, 'Apoio Regulação de Polinização'!T47*2.7183^(-'Regulação de polinização'!J$105/$AA104))</f>
        <v>#NUM!</v>
      </c>
      <c r="U104" s="1122" t="e">
        <f>IF('Regulação de polinização'!K$105&gt;$AA104,0, 'Apoio Regulação de Polinização'!U47*2.7183^(-'Regulação de polinização'!K$105/$AA104))</f>
        <v>#NUM!</v>
      </c>
      <c r="V104" s="1122" t="e">
        <f>IF('Regulação de polinização'!L$105&gt;$AA104,0, 'Apoio Regulação de Polinização'!V47*2.7183^(-'Regulação de polinização'!L$105/$AA104))</f>
        <v>#NUM!</v>
      </c>
      <c r="W104" s="1122" t="e">
        <f>IF('Regulação de polinização'!M$105&gt;$AA104,0, 'Apoio Regulação de Polinização'!W47*2.7183^(-'Regulação de polinização'!M$105/$AA104))</f>
        <v>#NUM!</v>
      </c>
      <c r="X104" s="1122" t="e">
        <f>IF('Regulação de polinização'!N$105&gt;$AA104,0, 'Apoio Regulação de Polinização'!X47*2.7183^(-'Regulação de polinização'!N$105/$AA104))</f>
        <v>#NUM!</v>
      </c>
      <c r="Y104" s="1122" t="e">
        <f>IF('Regulação de polinização'!O$105&gt;$AA104,0, 'Apoio Regulação de Polinização'!Y47*2.7183^(-'Regulação de polinização'!O$105/$AA104))</f>
        <v>#NUM!</v>
      </c>
      <c r="Z104" s="1122" t="e">
        <f>IF('Regulação de polinização'!P$105&gt;$AA104,0, 'Apoio Regulação de Polinização'!Z47*2.7183^(-'Regulação de polinização'!P$105/$AA104))</f>
        <v>#NUM!</v>
      </c>
      <c r="AA104" s="1128" t="e">
        <f>'Apoio Regulação de Polinização'!AA47</f>
        <v>#NUM!</v>
      </c>
    </row>
    <row r="105" spans="2:30">
      <c r="B105" s="1964"/>
      <c r="C105" s="1964"/>
      <c r="D105" s="2015"/>
      <c r="E105" s="1968"/>
      <c r="F105" s="1968"/>
      <c r="G105" s="1968"/>
      <c r="H105" s="1968"/>
      <c r="I105" s="1968"/>
      <c r="J105" s="2015"/>
      <c r="K105" s="1964"/>
      <c r="N105" s="1121">
        <f>'Apoio Regulação de Polinização'!N48</f>
        <v>0</v>
      </c>
      <c r="O105" s="1122" t="e">
        <f>IF('Regulação de polinização'!E$105&gt;$AA105,0, 'Apoio Regulação de Polinização'!O48*2.7183^(-'Regulação de polinização'!E$105/$AA105))</f>
        <v>#NUM!</v>
      </c>
      <c r="P105" s="1122" t="e">
        <f>IF('Regulação de polinização'!F$105&gt;$AA105,0, 'Apoio Regulação de Polinização'!P48*2.7183^(-'Regulação de polinização'!F$105/$AA105))</f>
        <v>#NUM!</v>
      </c>
      <c r="Q105" s="1122" t="e">
        <f>IF('Regulação de polinização'!G$105&gt;$AA105,0, 'Apoio Regulação de Polinização'!Q48*2.7183^(-'Regulação de polinização'!G$105/$AA105))</f>
        <v>#NUM!</v>
      </c>
      <c r="R105" s="1122" t="e">
        <f>IF('Regulação de polinização'!H$105&gt;$AA105,0, 'Apoio Regulação de Polinização'!R48*2.7183^(-'Regulação de polinização'!H$105/$AA105))</f>
        <v>#NUM!</v>
      </c>
      <c r="S105" s="1122" t="e">
        <f>IF('Regulação de polinização'!I$105&gt;$AA105,0, 'Apoio Regulação de Polinização'!S48*2.7183^(-'Regulação de polinização'!I$105/$AA105))</f>
        <v>#NUM!</v>
      </c>
      <c r="T105" s="1122" t="e">
        <f>IF('Regulação de polinização'!J$105&gt;$AA105,0, 'Apoio Regulação de Polinização'!T48*2.7183^(-'Regulação de polinização'!J$105/$AA105))</f>
        <v>#NUM!</v>
      </c>
      <c r="U105" s="1122" t="e">
        <f>IF('Regulação de polinização'!K$105&gt;$AA105,0, 'Apoio Regulação de Polinização'!U48*2.7183^(-'Regulação de polinização'!K$105/$AA105))</f>
        <v>#NUM!</v>
      </c>
      <c r="V105" s="1122" t="e">
        <f>IF('Regulação de polinização'!L$105&gt;$AA105,0, 'Apoio Regulação de Polinização'!V48*2.7183^(-'Regulação de polinização'!L$105/$AA105))</f>
        <v>#NUM!</v>
      </c>
      <c r="W105" s="1122" t="e">
        <f>IF('Regulação de polinização'!M$105&gt;$AA105,0, 'Apoio Regulação de Polinização'!W48*2.7183^(-'Regulação de polinização'!M$105/$AA105))</f>
        <v>#NUM!</v>
      </c>
      <c r="X105" s="1122" t="e">
        <f>IF('Regulação de polinização'!N$105&gt;$AA105,0, 'Apoio Regulação de Polinização'!X48*2.7183^(-'Regulação de polinização'!N$105/$AA105))</f>
        <v>#NUM!</v>
      </c>
      <c r="Y105" s="1122" t="e">
        <f>IF('Regulação de polinização'!O$105&gt;$AA105,0, 'Apoio Regulação de Polinização'!Y48*2.7183^(-'Regulação de polinização'!O$105/$AA105))</f>
        <v>#NUM!</v>
      </c>
      <c r="Z105" s="1122" t="e">
        <f>IF('Regulação de polinização'!P$105&gt;$AA105,0, 'Apoio Regulação de Polinização'!Z48*2.7183^(-'Regulação de polinização'!P$105/$AA105))</f>
        <v>#NUM!</v>
      </c>
      <c r="AA105" s="1128" t="e">
        <f>'Apoio Regulação de Polinização'!AA48</f>
        <v>#NUM!</v>
      </c>
    </row>
    <row r="106" spans="2:30">
      <c r="B106" s="1964"/>
      <c r="C106" s="1964"/>
      <c r="D106" s="2015"/>
      <c r="E106" s="1968"/>
      <c r="F106" s="1968"/>
      <c r="G106" s="1968"/>
      <c r="H106" s="1968"/>
      <c r="I106" s="1968"/>
      <c r="J106" s="2015"/>
      <c r="K106" s="1964"/>
      <c r="N106" s="1121">
        <f>'Apoio Regulação de Polinização'!N49</f>
        <v>0</v>
      </c>
      <c r="O106" s="1122" t="e">
        <f>IF('Regulação de polinização'!E$105&gt;$AA106,0, 'Apoio Regulação de Polinização'!O49*2.7183^(-'Regulação de polinização'!E$105/$AA106))</f>
        <v>#NUM!</v>
      </c>
      <c r="P106" s="1122" t="e">
        <f>IF('Regulação de polinização'!F$105&gt;$AA106,0, 'Apoio Regulação de Polinização'!P49*2.7183^(-'Regulação de polinização'!F$105/$AA106))</f>
        <v>#NUM!</v>
      </c>
      <c r="Q106" s="1122" t="e">
        <f>IF('Regulação de polinização'!G$105&gt;$AA106,0, 'Apoio Regulação de Polinização'!Q49*2.7183^(-'Regulação de polinização'!G$105/$AA106))</f>
        <v>#NUM!</v>
      </c>
      <c r="R106" s="1122" t="e">
        <f>IF('Regulação de polinização'!H$105&gt;$AA106,0, 'Apoio Regulação de Polinização'!R49*2.7183^(-'Regulação de polinização'!H$105/$AA106))</f>
        <v>#NUM!</v>
      </c>
      <c r="S106" s="1122" t="e">
        <f>IF('Regulação de polinização'!I$105&gt;$AA106,0, 'Apoio Regulação de Polinização'!S49*2.7183^(-'Regulação de polinização'!I$105/$AA106))</f>
        <v>#NUM!</v>
      </c>
      <c r="T106" s="1122" t="e">
        <f>IF('Regulação de polinização'!J$105&gt;$AA106,0, 'Apoio Regulação de Polinização'!T49*2.7183^(-'Regulação de polinização'!J$105/$AA106))</f>
        <v>#NUM!</v>
      </c>
      <c r="U106" s="1122" t="e">
        <f>IF('Regulação de polinização'!K$105&gt;$AA106,0, 'Apoio Regulação de Polinização'!U49*2.7183^(-'Regulação de polinização'!K$105/$AA106))</f>
        <v>#NUM!</v>
      </c>
      <c r="V106" s="1122" t="e">
        <f>IF('Regulação de polinização'!L$105&gt;$AA106,0, 'Apoio Regulação de Polinização'!V49*2.7183^(-'Regulação de polinização'!L$105/$AA106))</f>
        <v>#NUM!</v>
      </c>
      <c r="W106" s="1122" t="e">
        <f>IF('Regulação de polinização'!M$105&gt;$AA106,0, 'Apoio Regulação de Polinização'!W49*2.7183^(-'Regulação de polinização'!M$105/$AA106))</f>
        <v>#NUM!</v>
      </c>
      <c r="X106" s="1122" t="e">
        <f>IF('Regulação de polinização'!N$105&gt;$AA106,0, 'Apoio Regulação de Polinização'!X49*2.7183^(-'Regulação de polinização'!N$105/$AA106))</f>
        <v>#NUM!</v>
      </c>
      <c r="Y106" s="1122" t="e">
        <f>IF('Regulação de polinização'!O$105&gt;$AA106,0, 'Apoio Regulação de Polinização'!Y49*2.7183^(-'Regulação de polinização'!O$105/$AA106))</f>
        <v>#NUM!</v>
      </c>
      <c r="Z106" s="1122" t="e">
        <f>IF('Regulação de polinização'!P$105&gt;$AA106,0, 'Apoio Regulação de Polinização'!Z49*2.7183^(-'Regulação de polinização'!P$105/$AA106))</f>
        <v>#NUM!</v>
      </c>
      <c r="AA106" s="1128" t="e">
        <f>'Apoio Regulação de Polinização'!AA49</f>
        <v>#NUM!</v>
      </c>
    </row>
    <row r="107" spans="2:30">
      <c r="B107" s="2018"/>
      <c r="C107" s="2018"/>
      <c r="D107" s="2016"/>
      <c r="E107" s="2032"/>
      <c r="F107" s="2032"/>
      <c r="G107" s="2032"/>
      <c r="H107" s="2032"/>
      <c r="I107" s="2032"/>
      <c r="J107" s="2016"/>
      <c r="K107" s="2018"/>
      <c r="N107" s="1121">
        <f>'Apoio Regulação de Polinização'!N50</f>
        <v>0</v>
      </c>
      <c r="O107" s="1122" t="e">
        <f>IF('Regulação de polinização'!E$105&gt;$AA107,0, 'Apoio Regulação de Polinização'!O50*2.7183^(-'Regulação de polinização'!E$105/$AA107))</f>
        <v>#NUM!</v>
      </c>
      <c r="P107" s="1122" t="e">
        <f>IF('Regulação de polinização'!F$105&gt;$AA107,0, 'Apoio Regulação de Polinização'!P50*2.7183^(-'Regulação de polinização'!F$105/$AA107))</f>
        <v>#NUM!</v>
      </c>
      <c r="Q107" s="1122" t="e">
        <f>IF('Regulação de polinização'!G$105&gt;$AA107,0, 'Apoio Regulação de Polinização'!Q50*2.7183^(-'Regulação de polinização'!G$105/$AA107))</f>
        <v>#NUM!</v>
      </c>
      <c r="R107" s="1122" t="e">
        <f>IF('Regulação de polinização'!H$105&gt;$AA107,0, 'Apoio Regulação de Polinização'!R50*2.7183^(-'Regulação de polinização'!H$105/$AA107))</f>
        <v>#NUM!</v>
      </c>
      <c r="S107" s="1122" t="e">
        <f>IF('Regulação de polinização'!I$105&gt;$AA107,0, 'Apoio Regulação de Polinização'!S50*2.7183^(-'Regulação de polinização'!I$105/$AA107))</f>
        <v>#NUM!</v>
      </c>
      <c r="T107" s="1122" t="e">
        <f>IF('Regulação de polinização'!J$105&gt;$AA107,0, 'Apoio Regulação de Polinização'!T50*2.7183^(-'Regulação de polinização'!J$105/$AA107))</f>
        <v>#NUM!</v>
      </c>
      <c r="U107" s="1122" t="e">
        <f>IF('Regulação de polinização'!K$105&gt;$AA107,0, 'Apoio Regulação de Polinização'!U50*2.7183^(-'Regulação de polinização'!K$105/$AA107))</f>
        <v>#NUM!</v>
      </c>
      <c r="V107" s="1122" t="e">
        <f>IF('Regulação de polinização'!L$105&gt;$AA107,0, 'Apoio Regulação de Polinização'!V50*2.7183^(-'Regulação de polinização'!L$105/$AA107))</f>
        <v>#NUM!</v>
      </c>
      <c r="W107" s="1122" t="e">
        <f>IF('Regulação de polinização'!M$105&gt;$AA107,0, 'Apoio Regulação de Polinização'!W50*2.7183^(-'Regulação de polinização'!M$105/$AA107))</f>
        <v>#NUM!</v>
      </c>
      <c r="X107" s="1122" t="e">
        <f>IF('Regulação de polinização'!N$105&gt;$AA107,0, 'Apoio Regulação de Polinização'!X50*2.7183^(-'Regulação de polinização'!N$105/$AA107))</f>
        <v>#NUM!</v>
      </c>
      <c r="Y107" s="1122" t="e">
        <f>IF('Regulação de polinização'!O$105&gt;$AA107,0, 'Apoio Regulação de Polinização'!Y50*2.7183^(-'Regulação de polinização'!O$105/$AA107))</f>
        <v>#NUM!</v>
      </c>
      <c r="Z107" s="1122" t="e">
        <f>IF('Regulação de polinização'!P$105&gt;$AA107,0, 'Apoio Regulação de Polinização'!Z50*2.7183^(-'Regulação de polinização'!P$105/$AA107))</f>
        <v>#NUM!</v>
      </c>
      <c r="AA107" s="1128" t="e">
        <f>'Apoio Regulação de Polinização'!AA50</f>
        <v>#NUM!</v>
      </c>
    </row>
    <row r="108" spans="2:30">
      <c r="B108" s="2017" t="s">
        <v>678</v>
      </c>
      <c r="C108" s="2017" t="s">
        <v>681</v>
      </c>
      <c r="D108" s="2014" t="s">
        <v>683</v>
      </c>
      <c r="E108" s="2031" t="s">
        <v>1276</v>
      </c>
      <c r="F108" s="2031"/>
      <c r="G108" s="2031"/>
      <c r="H108" s="2031"/>
      <c r="I108" s="2031"/>
      <c r="J108" s="2014" t="s">
        <v>662</v>
      </c>
      <c r="K108" s="2017">
        <v>0.53</v>
      </c>
      <c r="N108" s="1121">
        <f>'Apoio Regulação de Polinização'!N51</f>
        <v>0</v>
      </c>
      <c r="O108" s="1122" t="e">
        <f>IF('Regulação de polinização'!E$105&gt;$AA108,0, 'Apoio Regulação de Polinização'!O51*2.7183^(-'Regulação de polinização'!E$105/$AA108))</f>
        <v>#NUM!</v>
      </c>
      <c r="P108" s="1122" t="e">
        <f>IF('Regulação de polinização'!F$105&gt;$AA108,0, 'Apoio Regulação de Polinização'!P51*2.7183^(-'Regulação de polinização'!F$105/$AA108))</f>
        <v>#NUM!</v>
      </c>
      <c r="Q108" s="1122" t="e">
        <f>IF('Regulação de polinização'!G$105&gt;$AA108,0, 'Apoio Regulação de Polinização'!Q51*2.7183^(-'Regulação de polinização'!G$105/$AA108))</f>
        <v>#NUM!</v>
      </c>
      <c r="R108" s="1122" t="e">
        <f>IF('Regulação de polinização'!H$105&gt;$AA108,0, 'Apoio Regulação de Polinização'!R51*2.7183^(-'Regulação de polinização'!H$105/$AA108))</f>
        <v>#NUM!</v>
      </c>
      <c r="S108" s="1122" t="e">
        <f>IF('Regulação de polinização'!I$105&gt;$AA108,0, 'Apoio Regulação de Polinização'!S51*2.7183^(-'Regulação de polinização'!I$105/$AA108))</f>
        <v>#NUM!</v>
      </c>
      <c r="T108" s="1122" t="e">
        <f>IF('Regulação de polinização'!J$105&gt;$AA108,0, 'Apoio Regulação de Polinização'!T51*2.7183^(-'Regulação de polinização'!J$105/$AA108))</f>
        <v>#NUM!</v>
      </c>
      <c r="U108" s="1122" t="e">
        <f>IF('Regulação de polinização'!K$105&gt;$AA108,0, 'Apoio Regulação de Polinização'!U51*2.7183^(-'Regulação de polinização'!K$105/$AA108))</f>
        <v>#NUM!</v>
      </c>
      <c r="V108" s="1122" t="e">
        <f>IF('Regulação de polinização'!L$105&gt;$AA108,0, 'Apoio Regulação de Polinização'!V51*2.7183^(-'Regulação de polinização'!L$105/$AA108))</f>
        <v>#NUM!</v>
      </c>
      <c r="W108" s="1122" t="e">
        <f>IF('Regulação de polinização'!M$105&gt;$AA108,0, 'Apoio Regulação de Polinização'!W51*2.7183^(-'Regulação de polinização'!M$105/$AA108))</f>
        <v>#NUM!</v>
      </c>
      <c r="X108" s="1122" t="e">
        <f>IF('Regulação de polinização'!N$105&gt;$AA108,0, 'Apoio Regulação de Polinização'!X51*2.7183^(-'Regulação de polinização'!N$105/$AA108))</f>
        <v>#NUM!</v>
      </c>
      <c r="Y108" s="1122" t="e">
        <f>IF('Regulação de polinização'!O$105&gt;$AA108,0, 'Apoio Regulação de Polinização'!Y51*2.7183^(-'Regulação de polinização'!O$105/$AA108))</f>
        <v>#NUM!</v>
      </c>
      <c r="Z108" s="1122" t="e">
        <f>IF('Regulação de polinização'!P$105&gt;$AA108,0, 'Apoio Regulação de Polinização'!Z51*2.7183^(-'Regulação de polinização'!P$105/$AA108))</f>
        <v>#NUM!</v>
      </c>
      <c r="AA108" s="1128" t="e">
        <f>'Apoio Regulação de Polinização'!AA51</f>
        <v>#NUM!</v>
      </c>
    </row>
    <row r="109" spans="2:30">
      <c r="B109" s="1964"/>
      <c r="C109" s="1964"/>
      <c r="D109" s="2015"/>
      <c r="E109" s="1968"/>
      <c r="F109" s="1968"/>
      <c r="G109" s="1968"/>
      <c r="H109" s="1968"/>
      <c r="I109" s="1968"/>
      <c r="J109" s="2015"/>
      <c r="K109" s="1964"/>
      <c r="N109" s="1121">
        <f>'Apoio Regulação de Polinização'!N52</f>
        <v>0</v>
      </c>
      <c r="O109" s="1122" t="e">
        <f>IF('Regulação de polinização'!E$105&gt;$AA109,0, 'Apoio Regulação de Polinização'!O52*2.7183^(-'Regulação de polinização'!E$105/$AA109))</f>
        <v>#NUM!</v>
      </c>
      <c r="P109" s="1122" t="e">
        <f>IF('Regulação de polinização'!F$105&gt;$AA109,0, 'Apoio Regulação de Polinização'!P52*2.7183^(-'Regulação de polinização'!F$105/$AA109))</f>
        <v>#NUM!</v>
      </c>
      <c r="Q109" s="1122" t="e">
        <f>IF('Regulação de polinização'!G$105&gt;$AA109,0, 'Apoio Regulação de Polinização'!Q52*2.7183^(-'Regulação de polinização'!G$105/$AA109))</f>
        <v>#NUM!</v>
      </c>
      <c r="R109" s="1122" t="e">
        <f>IF('Regulação de polinização'!H$105&gt;$AA109,0, 'Apoio Regulação de Polinização'!R52*2.7183^(-'Regulação de polinização'!H$105/$AA109))</f>
        <v>#NUM!</v>
      </c>
      <c r="S109" s="1122" t="e">
        <f>IF('Regulação de polinização'!I$105&gt;$AA109,0, 'Apoio Regulação de Polinização'!S52*2.7183^(-'Regulação de polinização'!I$105/$AA109))</f>
        <v>#NUM!</v>
      </c>
      <c r="T109" s="1122" t="e">
        <f>IF('Regulação de polinização'!J$105&gt;$AA109,0, 'Apoio Regulação de Polinização'!T52*2.7183^(-'Regulação de polinização'!J$105/$AA109))</f>
        <v>#NUM!</v>
      </c>
      <c r="U109" s="1122" t="e">
        <f>IF('Regulação de polinização'!K$105&gt;$AA109,0, 'Apoio Regulação de Polinização'!U52*2.7183^(-'Regulação de polinização'!K$105/$AA109))</f>
        <v>#NUM!</v>
      </c>
      <c r="V109" s="1122" t="e">
        <f>IF('Regulação de polinização'!L$105&gt;$AA109,0, 'Apoio Regulação de Polinização'!V52*2.7183^(-'Regulação de polinização'!L$105/$AA109))</f>
        <v>#NUM!</v>
      </c>
      <c r="W109" s="1122" t="e">
        <f>IF('Regulação de polinização'!M$105&gt;$AA109,0, 'Apoio Regulação de Polinização'!W52*2.7183^(-'Regulação de polinização'!M$105/$AA109))</f>
        <v>#NUM!</v>
      </c>
      <c r="X109" s="1122" t="e">
        <f>IF('Regulação de polinização'!N$105&gt;$AA109,0, 'Apoio Regulação de Polinização'!X52*2.7183^(-'Regulação de polinização'!N$105/$AA109))</f>
        <v>#NUM!</v>
      </c>
      <c r="Y109" s="1122" t="e">
        <f>IF('Regulação de polinização'!O$105&gt;$AA109,0, 'Apoio Regulação de Polinização'!Y52*2.7183^(-'Regulação de polinização'!O$105/$AA109))</f>
        <v>#NUM!</v>
      </c>
      <c r="Z109" s="1122" t="e">
        <f>IF('Regulação de polinização'!P$105&gt;$AA109,0, 'Apoio Regulação de Polinização'!Z52*2.7183^(-'Regulação de polinização'!P$105/$AA109))</f>
        <v>#NUM!</v>
      </c>
      <c r="AA109" s="1128" t="e">
        <f>'Apoio Regulação de Polinização'!AA52</f>
        <v>#NUM!</v>
      </c>
    </row>
    <row r="110" spans="2:30">
      <c r="B110" s="1964"/>
      <c r="C110" s="1964"/>
      <c r="D110" s="2015"/>
      <c r="E110" s="1968"/>
      <c r="F110" s="1968"/>
      <c r="G110" s="1968"/>
      <c r="H110" s="1968"/>
      <c r="I110" s="1968"/>
      <c r="J110" s="2015"/>
      <c r="K110" s="1964"/>
      <c r="N110" s="1121">
        <f>'Apoio Regulação de Polinização'!N53</f>
        <v>0</v>
      </c>
      <c r="O110" s="1122" t="e">
        <f>IF('Regulação de polinização'!E$105&gt;$AA110,0, 'Apoio Regulação de Polinização'!O53*2.7183^(-'Regulação de polinização'!E$105/$AA110))</f>
        <v>#NUM!</v>
      </c>
      <c r="P110" s="1122" t="e">
        <f>IF('Regulação de polinização'!F$105&gt;$AA110,0, 'Apoio Regulação de Polinização'!P53*2.7183^(-'Regulação de polinização'!F$105/$AA110))</f>
        <v>#NUM!</v>
      </c>
      <c r="Q110" s="1122" t="e">
        <f>IF('Regulação de polinização'!G$105&gt;$AA110,0, 'Apoio Regulação de Polinização'!Q53*2.7183^(-'Regulação de polinização'!G$105/$AA110))</f>
        <v>#NUM!</v>
      </c>
      <c r="R110" s="1122" t="e">
        <f>IF('Regulação de polinização'!H$105&gt;$AA110,0, 'Apoio Regulação de Polinização'!R53*2.7183^(-'Regulação de polinização'!H$105/$AA110))</f>
        <v>#NUM!</v>
      </c>
      <c r="S110" s="1122" t="e">
        <f>IF('Regulação de polinização'!I$105&gt;$AA110,0, 'Apoio Regulação de Polinização'!S53*2.7183^(-'Regulação de polinização'!I$105/$AA110))</f>
        <v>#NUM!</v>
      </c>
      <c r="T110" s="1122" t="e">
        <f>IF('Regulação de polinização'!J$105&gt;$AA110,0, 'Apoio Regulação de Polinização'!T53*2.7183^(-'Regulação de polinização'!J$105/$AA110))</f>
        <v>#NUM!</v>
      </c>
      <c r="U110" s="1122" t="e">
        <f>IF('Regulação de polinização'!K$105&gt;$AA110,0, 'Apoio Regulação de Polinização'!U53*2.7183^(-'Regulação de polinização'!K$105/$AA110))</f>
        <v>#NUM!</v>
      </c>
      <c r="V110" s="1122" t="e">
        <f>IF('Regulação de polinização'!L$105&gt;$AA110,0, 'Apoio Regulação de Polinização'!V53*2.7183^(-'Regulação de polinização'!L$105/$AA110))</f>
        <v>#NUM!</v>
      </c>
      <c r="W110" s="1122" t="e">
        <f>IF('Regulação de polinização'!M$105&gt;$AA110,0, 'Apoio Regulação de Polinização'!W53*2.7183^(-'Regulação de polinização'!M$105/$AA110))</f>
        <v>#NUM!</v>
      </c>
      <c r="X110" s="1122" t="e">
        <f>IF('Regulação de polinização'!N$105&gt;$AA110,0, 'Apoio Regulação de Polinização'!X53*2.7183^(-'Regulação de polinização'!N$105/$AA110))</f>
        <v>#NUM!</v>
      </c>
      <c r="Y110" s="1122" t="e">
        <f>IF('Regulação de polinização'!O$105&gt;$AA110,0, 'Apoio Regulação de Polinização'!Y53*2.7183^(-'Regulação de polinização'!O$105/$AA110))</f>
        <v>#NUM!</v>
      </c>
      <c r="Z110" s="1122" t="e">
        <f>IF('Regulação de polinização'!P$105&gt;$AA110,0, 'Apoio Regulação de Polinização'!Z53*2.7183^(-'Regulação de polinização'!P$105/$AA110))</f>
        <v>#NUM!</v>
      </c>
      <c r="AA110" s="1130" t="e">
        <f>'Apoio Regulação de Polinização'!AA53</f>
        <v>#NUM!</v>
      </c>
      <c r="AD110" s="792"/>
    </row>
    <row r="111" spans="2:30">
      <c r="B111" s="1964"/>
      <c r="C111" s="1964"/>
      <c r="D111" s="2015"/>
      <c r="E111" s="1968"/>
      <c r="F111" s="1968"/>
      <c r="G111" s="1968"/>
      <c r="H111" s="1968"/>
      <c r="I111" s="1968"/>
      <c r="J111" s="2015"/>
      <c r="K111" s="1964"/>
      <c r="N111" s="1125" t="s">
        <v>1438</v>
      </c>
      <c r="O111" s="1126">
        <f>TRUNC(SUMIF(O81:O110, "&gt;0"))*'Regulação de polinização'!E104</f>
        <v>0</v>
      </c>
      <c r="P111" s="1126">
        <f>TRUNC(SUMIF(P81:P110, "&gt;0"))*'Regulação de polinização'!F104</f>
        <v>0</v>
      </c>
      <c r="Q111" s="1126">
        <f>TRUNC(SUMIF(Q81:Q110, "&gt;0"))*'Regulação de polinização'!G104</f>
        <v>0</v>
      </c>
      <c r="R111" s="1126">
        <f>TRUNC(SUMIF(R81:R110, "&gt;0"))*'Regulação de polinização'!H104</f>
        <v>0</v>
      </c>
      <c r="S111" s="1126">
        <f>TRUNC(SUMIF(S81:S110, "&gt;0"))*'Regulação de polinização'!I104</f>
        <v>0</v>
      </c>
      <c r="T111" s="1126">
        <f>TRUNC(SUMIF(T81:T110, "&gt;0"))*'Regulação de polinização'!J104</f>
        <v>0</v>
      </c>
      <c r="U111" s="1126">
        <f>TRUNC(SUMIF(U81:U110, "&gt;0"))*'Regulação de polinização'!K104</f>
        <v>0</v>
      </c>
      <c r="V111" s="1126">
        <f>TRUNC(SUMIF(V81:V110, "&gt;0"))*'Regulação de polinização'!L104</f>
        <v>0</v>
      </c>
      <c r="W111" s="1126">
        <f>TRUNC(SUMIF(W81:W110, "&gt;0"))*'Regulação de polinização'!M104</f>
        <v>0</v>
      </c>
      <c r="X111" s="1126">
        <f>TRUNC(SUMIF(X81:X110, "&gt;0"))*'Regulação de polinização'!N104</f>
        <v>0</v>
      </c>
      <c r="Y111" s="1126">
        <f>TRUNC(SUMIF(Y81:Y110, "&gt;0"))*'Regulação de polinização'!O104</f>
        <v>0</v>
      </c>
      <c r="Z111" s="1126">
        <f>TRUNC(SUMIF(Z81:Z110, "&gt;0"))*'Regulação de polinização'!P104</f>
        <v>0</v>
      </c>
    </row>
    <row r="112" spans="2:30">
      <c r="B112" s="2018"/>
      <c r="C112" s="2018"/>
      <c r="D112" s="2016"/>
      <c r="E112" s="2032"/>
      <c r="F112" s="2032"/>
      <c r="G112" s="2032"/>
      <c r="H112" s="2032"/>
      <c r="I112" s="2032"/>
      <c r="J112" s="2016"/>
      <c r="K112" s="2018"/>
    </row>
    <row r="113" spans="2:22" ht="15.6">
      <c r="B113" s="2017" t="s">
        <v>678</v>
      </c>
      <c r="C113" s="2017" t="s">
        <v>681</v>
      </c>
      <c r="D113" s="2017" t="s">
        <v>698</v>
      </c>
      <c r="E113" s="2029" t="s">
        <v>1278</v>
      </c>
      <c r="F113" s="2029"/>
      <c r="G113" s="2029"/>
      <c r="H113" s="2029"/>
      <c r="I113" s="2029"/>
      <c r="J113" s="2017" t="s">
        <v>663</v>
      </c>
      <c r="K113" s="2017">
        <v>0.35</v>
      </c>
      <c r="N113" s="1118" t="s">
        <v>1443</v>
      </c>
      <c r="O113" s="2026" t="e">
        <f>SUMIF(O111:Z111,"&gt;0")/'Regulação de polinização'!K88</f>
        <v>#DIV/0!</v>
      </c>
      <c r="P113" s="2027"/>
      <c r="S113" s="793"/>
      <c r="T113" s="793"/>
    </row>
    <row r="114" spans="2:22">
      <c r="B114" s="1964"/>
      <c r="C114" s="1964"/>
      <c r="D114" s="1964"/>
      <c r="E114" s="1962"/>
      <c r="F114" s="1962"/>
      <c r="G114" s="1962"/>
      <c r="H114" s="1962"/>
      <c r="I114" s="1962"/>
      <c r="J114" s="1964"/>
      <c r="K114" s="1964"/>
      <c r="V114" s="794"/>
    </row>
    <row r="115" spans="2:22">
      <c r="B115" s="2018"/>
      <c r="C115" s="2018"/>
      <c r="D115" s="2018"/>
      <c r="E115" s="2030"/>
      <c r="F115" s="2030"/>
      <c r="G115" s="2030"/>
      <c r="H115" s="2030"/>
      <c r="I115" s="2030"/>
      <c r="J115" s="2018"/>
      <c r="K115" s="2018"/>
      <c r="N115" s="1118" t="s">
        <v>931</v>
      </c>
      <c r="O115" s="2024" t="e">
        <f>-('Regulação de polinização'!K89*O122)/O120^2</f>
        <v>#N/A</v>
      </c>
      <c r="P115" s="2025"/>
      <c r="Q115" s="790"/>
      <c r="R115" s="2019"/>
      <c r="S115" s="2020"/>
      <c r="U115" s="795"/>
    </row>
    <row r="116" spans="2:22" ht="15" customHeight="1">
      <c r="B116" s="796"/>
      <c r="C116" s="796"/>
      <c r="D116" s="2017" t="s">
        <v>620</v>
      </c>
      <c r="E116" s="2048" t="s">
        <v>1444</v>
      </c>
      <c r="F116" s="2048"/>
      <c r="G116" s="2048"/>
      <c r="H116" s="2048"/>
      <c r="I116" s="2048"/>
      <c r="J116" s="2017" t="s">
        <v>620</v>
      </c>
      <c r="K116" s="2053">
        <v>0.8</v>
      </c>
      <c r="N116" s="1118" t="s">
        <v>932</v>
      </c>
      <c r="O116" s="2024" t="e">
        <f>2*'Regulação de polinização'!K89*'Apoio Regulação de Polinização'!O122/'Apoio Regulação de Polinização'!O120</f>
        <v>#N/A</v>
      </c>
      <c r="P116" s="2025"/>
      <c r="Q116" s="790"/>
      <c r="R116" s="2020"/>
      <c r="S116" s="2021"/>
    </row>
    <row r="117" spans="2:22" ht="15.6">
      <c r="B117" s="713"/>
      <c r="C117" s="713"/>
      <c r="D117" s="1964"/>
      <c r="E117" s="2049"/>
      <c r="F117" s="2049"/>
      <c r="G117" s="2049"/>
      <c r="H117" s="2049"/>
      <c r="I117" s="2049"/>
      <c r="J117" s="1964"/>
      <c r="K117" s="2054"/>
      <c r="N117" s="1118" t="s">
        <v>1445</v>
      </c>
      <c r="O117" s="2040" t="e">
        <f>'Regulação de polinização'!K89*(1-'Apoio Regulação de Polinização'!O122)+$O$115*O113^2+$O$116*O113</f>
        <v>#N/A</v>
      </c>
      <c r="P117" s="2041"/>
      <c r="Q117" s="790"/>
      <c r="V117" s="797"/>
    </row>
    <row r="118" spans="2:22" ht="15.6">
      <c r="B118" s="713"/>
      <c r="C118" s="713"/>
      <c r="D118" s="1964"/>
      <c r="E118" s="2049"/>
      <c r="F118" s="2049"/>
      <c r="G118" s="2049"/>
      <c r="H118" s="2049"/>
      <c r="I118" s="2049"/>
      <c r="J118" s="1964"/>
      <c r="K118" s="2054"/>
      <c r="N118" s="1118" t="s">
        <v>1446</v>
      </c>
      <c r="O118" s="2043" t="e">
        <f>IF(O113&lt;O120,O117,IF(O117&gt;0.9*'Regulação de polinização'!K89,O117,0.9*'Regulação de polinização'!K89))</f>
        <v>#DIV/0!</v>
      </c>
      <c r="P118" s="2044"/>
      <c r="Q118" s="790"/>
    </row>
    <row r="119" spans="2:22">
      <c r="B119" s="713"/>
      <c r="C119" s="713"/>
      <c r="D119" s="1964"/>
      <c r="E119" s="2049"/>
      <c r="F119" s="2049"/>
      <c r="G119" s="2049"/>
      <c r="H119" s="2049"/>
      <c r="I119" s="2049"/>
      <c r="J119" s="1964"/>
      <c r="K119" s="2054"/>
    </row>
    <row r="120" spans="2:22" ht="24" customHeight="1">
      <c r="B120" s="798"/>
      <c r="C120" s="798"/>
      <c r="D120" s="2018"/>
      <c r="E120" s="2050"/>
      <c r="F120" s="2050"/>
      <c r="G120" s="2050"/>
      <c r="H120" s="2050"/>
      <c r="I120" s="2050"/>
      <c r="J120" s="2018"/>
      <c r="K120" s="2055"/>
      <c r="N120" s="1119" t="s">
        <v>1439</v>
      </c>
      <c r="O120" s="2045" t="e">
        <f>IF('Regulação de polinização'!K92&gt;0,'Regulação de polinização'!K92,VLOOKUP('Regulação de polinização'!K86,B16:G70,6,FALSE))</f>
        <v>#N/A</v>
      </c>
      <c r="P120" s="2046"/>
      <c r="Q120" s="790"/>
    </row>
    <row r="121" spans="2:22" ht="30.75" customHeight="1">
      <c r="B121" s="776" t="s">
        <v>678</v>
      </c>
      <c r="C121" s="776" t="s">
        <v>700</v>
      </c>
      <c r="D121" s="776" t="s">
        <v>701</v>
      </c>
      <c r="E121" s="2047" t="s">
        <v>1279</v>
      </c>
      <c r="F121" s="2047"/>
      <c r="G121" s="2047"/>
      <c r="H121" s="2047"/>
      <c r="I121" s="2047"/>
      <c r="J121" s="782" t="s">
        <v>664</v>
      </c>
      <c r="K121" s="776">
        <v>0.61</v>
      </c>
      <c r="Q121" s="790"/>
    </row>
    <row r="122" spans="2:22" ht="33" customHeight="1">
      <c r="B122" s="776" t="s">
        <v>678</v>
      </c>
      <c r="C122" s="776" t="s">
        <v>702</v>
      </c>
      <c r="D122" s="776" t="s">
        <v>1274</v>
      </c>
      <c r="E122" s="2028" t="s">
        <v>1280</v>
      </c>
      <c r="F122" s="2028"/>
      <c r="G122" s="2028"/>
      <c r="H122" s="2028"/>
      <c r="I122" s="2028"/>
      <c r="J122" s="782" t="s">
        <v>1275</v>
      </c>
      <c r="K122" s="777">
        <v>0.28999999999999998</v>
      </c>
      <c r="N122" s="1119" t="s">
        <v>1154</v>
      </c>
      <c r="O122" s="2056" t="e">
        <f>IF('Regulação de polinização'!$K$91&gt;0,'Regulação de polinização'!$K$91,IF('Regulação de polinização'!$K$94&gt;0,(('Regulação de polinização'!$K$94/'Regulação de polinização'!$K$89)-1)*100,VLOOKUP('Regulação de polinização'!K86,$B$16:$D$70,3,FALSE)))</f>
        <v>#N/A</v>
      </c>
      <c r="P122" s="2056"/>
    </row>
    <row r="123" spans="2:22" ht="57.6">
      <c r="B123" s="782" t="s">
        <v>678</v>
      </c>
      <c r="C123" s="782" t="s">
        <v>703</v>
      </c>
      <c r="D123" s="782" t="s">
        <v>933</v>
      </c>
      <c r="E123" s="1629" t="s">
        <v>1281</v>
      </c>
      <c r="F123" s="1629"/>
      <c r="G123" s="1629"/>
      <c r="H123" s="1629"/>
      <c r="I123" s="1629"/>
      <c r="J123" s="782" t="s">
        <v>666</v>
      </c>
      <c r="K123" s="799">
        <v>0.38</v>
      </c>
      <c r="N123" s="800"/>
      <c r="O123" s="2042"/>
      <c r="P123" s="2042"/>
    </row>
    <row r="124" spans="2:22" ht="30.75" customHeight="1">
      <c r="B124" s="782" t="s">
        <v>704</v>
      </c>
      <c r="C124" s="782" t="s">
        <v>653</v>
      </c>
      <c r="D124" s="782" t="s">
        <v>705</v>
      </c>
      <c r="E124" s="1629" t="s">
        <v>1282</v>
      </c>
      <c r="F124" s="1629"/>
      <c r="G124" s="1629"/>
      <c r="H124" s="1629"/>
      <c r="I124" s="1629"/>
      <c r="J124" s="782" t="s">
        <v>667</v>
      </c>
      <c r="K124" s="782">
        <v>0.46</v>
      </c>
      <c r="O124" s="2022"/>
      <c r="P124" s="2022"/>
    </row>
    <row r="125" spans="2:22" ht="30" customHeight="1">
      <c r="B125" s="782" t="s">
        <v>704</v>
      </c>
      <c r="C125" s="782" t="s">
        <v>653</v>
      </c>
      <c r="D125" s="782" t="s">
        <v>706</v>
      </c>
      <c r="E125" s="1629" t="s">
        <v>1283</v>
      </c>
      <c r="F125" s="1629"/>
      <c r="G125" s="1629"/>
      <c r="H125" s="1629"/>
      <c r="I125" s="1629"/>
      <c r="J125" s="782" t="s">
        <v>668</v>
      </c>
      <c r="K125" s="782">
        <v>0.37</v>
      </c>
    </row>
    <row r="126" spans="2:22" ht="30" customHeight="1">
      <c r="B126" s="782" t="s">
        <v>704</v>
      </c>
      <c r="C126" s="782" t="s">
        <v>653</v>
      </c>
      <c r="D126" s="782" t="s">
        <v>707</v>
      </c>
      <c r="E126" s="1629" t="s">
        <v>708</v>
      </c>
      <c r="F126" s="1629"/>
      <c r="G126" s="1629"/>
      <c r="H126" s="1629"/>
      <c r="I126" s="1629"/>
      <c r="J126" s="782" t="s">
        <v>709</v>
      </c>
      <c r="K126" s="782">
        <v>0.24</v>
      </c>
    </row>
    <row r="127" spans="2:22" s="211" customFormat="1" ht="29.25" customHeight="1">
      <c r="B127" s="782" t="s">
        <v>704</v>
      </c>
      <c r="C127" s="782" t="s">
        <v>710</v>
      </c>
      <c r="D127" s="782" t="s">
        <v>711</v>
      </c>
      <c r="E127" s="1629" t="s">
        <v>712</v>
      </c>
      <c r="F127" s="1629"/>
      <c r="G127" s="1629"/>
      <c r="H127" s="1629"/>
      <c r="I127" s="1629"/>
      <c r="J127" s="782" t="s">
        <v>669</v>
      </c>
      <c r="K127" s="782">
        <v>0.42</v>
      </c>
    </row>
    <row r="128" spans="2:22" ht="30" customHeight="1">
      <c r="B128" s="782" t="s">
        <v>713</v>
      </c>
      <c r="C128" s="782" t="s">
        <v>714</v>
      </c>
      <c r="D128" s="782" t="s">
        <v>714</v>
      </c>
      <c r="E128" s="1629" t="s">
        <v>715</v>
      </c>
      <c r="F128" s="1629"/>
      <c r="G128" s="1629"/>
      <c r="H128" s="1629"/>
      <c r="I128" s="1629"/>
      <c r="J128" s="782" t="s">
        <v>670</v>
      </c>
      <c r="K128" s="782">
        <v>0.42</v>
      </c>
    </row>
    <row r="129" spans="2:11" ht="32.25" customHeight="1">
      <c r="B129" s="782" t="s">
        <v>713</v>
      </c>
      <c r="C129" s="782" t="s">
        <v>716</v>
      </c>
      <c r="D129" s="782" t="s">
        <v>716</v>
      </c>
      <c r="E129" s="1629" t="s">
        <v>717</v>
      </c>
      <c r="F129" s="1629"/>
      <c r="G129" s="1629"/>
      <c r="H129" s="1629"/>
      <c r="I129" s="1629"/>
      <c r="J129" s="782" t="s">
        <v>718</v>
      </c>
      <c r="K129" s="782">
        <v>0.25</v>
      </c>
    </row>
    <row r="130" spans="2:11" ht="28.5" customHeight="1">
      <c r="B130" s="782" t="s">
        <v>719</v>
      </c>
      <c r="C130" s="782" t="s">
        <v>720</v>
      </c>
      <c r="D130" s="782" t="s">
        <v>671</v>
      </c>
      <c r="E130" s="2051" t="s">
        <v>721</v>
      </c>
      <c r="F130" s="2051"/>
      <c r="G130" s="2051"/>
      <c r="H130" s="2051"/>
      <c r="I130" s="2051"/>
      <c r="J130" s="782" t="s">
        <v>671</v>
      </c>
      <c r="K130" s="782">
        <v>0.21</v>
      </c>
    </row>
    <row r="131" spans="2:11" ht="24.75" customHeight="1">
      <c r="B131" s="801" t="s">
        <v>719</v>
      </c>
      <c r="C131" s="801" t="s">
        <v>722</v>
      </c>
      <c r="D131" s="801" t="s">
        <v>723</v>
      </c>
      <c r="E131" s="2052" t="s">
        <v>724</v>
      </c>
      <c r="F131" s="2052"/>
      <c r="G131" s="2052"/>
      <c r="H131" s="2052"/>
      <c r="I131" s="2052"/>
      <c r="J131" s="801" t="s">
        <v>672</v>
      </c>
      <c r="K131" s="802">
        <v>0</v>
      </c>
    </row>
    <row r="132" spans="2:11">
      <c r="B132" s="803" t="s">
        <v>934</v>
      </c>
      <c r="J132" s="218"/>
    </row>
    <row r="133" spans="2:11" hidden="1"/>
    <row r="134" spans="2:11" hidden="1"/>
    <row r="135" spans="2:11" hidden="1">
      <c r="B135" s="5" t="s">
        <v>1109</v>
      </c>
    </row>
    <row r="136" spans="2:11" hidden="1">
      <c r="B136" s="5" t="s">
        <v>12</v>
      </c>
    </row>
    <row r="137" spans="2:11" hidden="1">
      <c r="B137" s="5" t="s">
        <v>1110</v>
      </c>
    </row>
    <row r="138" spans="2:11" hidden="1">
      <c r="B138" s="5" t="s">
        <v>2</v>
      </c>
    </row>
    <row r="139" spans="2:11" hidden="1"/>
    <row r="140" spans="2:11" ht="15" hidden="1" thickBot="1">
      <c r="B140" s="692" t="s">
        <v>660</v>
      </c>
    </row>
    <row r="141" spans="2:11" ht="15" hidden="1" thickTop="1">
      <c r="B141" s="804" t="s">
        <v>661</v>
      </c>
    </row>
    <row r="142" spans="2:11" hidden="1">
      <c r="B142" s="805" t="s">
        <v>680</v>
      </c>
    </row>
    <row r="143" spans="2:11" hidden="1">
      <c r="B143" s="805" t="s">
        <v>662</v>
      </c>
    </row>
    <row r="144" spans="2:11" hidden="1">
      <c r="B144" s="805" t="s">
        <v>663</v>
      </c>
    </row>
    <row r="145" spans="2:3" hidden="1">
      <c r="B145" s="805" t="s">
        <v>620</v>
      </c>
    </row>
    <row r="146" spans="2:3" hidden="1">
      <c r="B146" s="806" t="s">
        <v>664</v>
      </c>
    </row>
    <row r="147" spans="2:3" hidden="1">
      <c r="B147" s="807" t="s">
        <v>665</v>
      </c>
    </row>
    <row r="148" spans="2:3" hidden="1">
      <c r="B148" s="807" t="s">
        <v>666</v>
      </c>
    </row>
    <row r="149" spans="2:3" hidden="1">
      <c r="B149" s="807" t="s">
        <v>667</v>
      </c>
    </row>
    <row r="150" spans="2:3" hidden="1">
      <c r="B150" s="806" t="s">
        <v>668</v>
      </c>
    </row>
    <row r="151" spans="2:3" hidden="1">
      <c r="B151" s="807" t="s">
        <v>709</v>
      </c>
    </row>
    <row r="152" spans="2:3" hidden="1">
      <c r="B152" s="806" t="s">
        <v>669</v>
      </c>
    </row>
    <row r="153" spans="2:3" hidden="1">
      <c r="B153" s="807" t="s">
        <v>670</v>
      </c>
    </row>
    <row r="154" spans="2:3" hidden="1">
      <c r="B154" s="806" t="s">
        <v>718</v>
      </c>
    </row>
    <row r="155" spans="2:3" hidden="1">
      <c r="B155" s="807" t="s">
        <v>671</v>
      </c>
    </row>
    <row r="156" spans="2:3" hidden="1">
      <c r="B156" s="808" t="s">
        <v>672</v>
      </c>
    </row>
    <row r="157" spans="2:3" hidden="1">
      <c r="C157" s="9"/>
    </row>
    <row r="158" spans="2:3" hidden="1">
      <c r="C158" s="805"/>
    </row>
    <row r="159" spans="2:3" hidden="1">
      <c r="C159" s="805"/>
    </row>
    <row r="160" spans="2:3" hidden="1">
      <c r="C160" s="805"/>
    </row>
    <row r="161" spans="3:3" hidden="1">
      <c r="C161" s="805"/>
    </row>
    <row r="162" spans="3:3" hidden="1"/>
    <row r="163" spans="3:3" hidden="1"/>
  </sheetData>
  <sheetProtection sheet="1" objects="1" scenarios="1" selectLockedCells="1"/>
  <mergeCells count="57">
    <mergeCell ref="D116:D120"/>
    <mergeCell ref="J116:J120"/>
    <mergeCell ref="K116:K120"/>
    <mergeCell ref="A8:M8"/>
    <mergeCell ref="O122:P122"/>
    <mergeCell ref="O115:P115"/>
    <mergeCell ref="B101:B103"/>
    <mergeCell ref="C101:C103"/>
    <mergeCell ref="D101:D103"/>
    <mergeCell ref="J101:J103"/>
    <mergeCell ref="K101:K103"/>
    <mergeCell ref="C104:C107"/>
    <mergeCell ref="D104:D107"/>
    <mergeCell ref="E104:I107"/>
    <mergeCell ref="J104:J107"/>
    <mergeCell ref="K104:K107"/>
    <mergeCell ref="E130:I130"/>
    <mergeCell ref="E131:I131"/>
    <mergeCell ref="E125:I125"/>
    <mergeCell ref="E126:I126"/>
    <mergeCell ref="E127:I127"/>
    <mergeCell ref="E128:I128"/>
    <mergeCell ref="E129:I129"/>
    <mergeCell ref="O117:P117"/>
    <mergeCell ref="E124:I124"/>
    <mergeCell ref="O123:P123"/>
    <mergeCell ref="O118:P118"/>
    <mergeCell ref="O120:P120"/>
    <mergeCell ref="E121:I121"/>
    <mergeCell ref="E116:I120"/>
    <mergeCell ref="AA19:AA22"/>
    <mergeCell ref="O23:Z23"/>
    <mergeCell ref="AA78:AA79"/>
    <mergeCell ref="O80:Z80"/>
    <mergeCell ref="E100:I100"/>
    <mergeCell ref="R115:S115"/>
    <mergeCell ref="R116:S116"/>
    <mergeCell ref="O124:P124"/>
    <mergeCell ref="B15:C15"/>
    <mergeCell ref="O116:P116"/>
    <mergeCell ref="O113:P113"/>
    <mergeCell ref="E122:I122"/>
    <mergeCell ref="E123:I123"/>
    <mergeCell ref="J113:J115"/>
    <mergeCell ref="K113:K115"/>
    <mergeCell ref="E113:I115"/>
    <mergeCell ref="E108:I112"/>
    <mergeCell ref="J108:J112"/>
    <mergeCell ref="K108:K112"/>
    <mergeCell ref="E101:I103"/>
    <mergeCell ref="D113:D115"/>
    <mergeCell ref="D108:D112"/>
    <mergeCell ref="C113:C115"/>
    <mergeCell ref="B113:B115"/>
    <mergeCell ref="B108:B112"/>
    <mergeCell ref="B104:B107"/>
    <mergeCell ref="C108:C112"/>
  </mergeCells>
  <conditionalFormatting sqref="O113">
    <cfRule type="expression" dxfId="6" priority="9">
      <formula>#REF!="LLI"</formula>
    </cfRule>
  </conditionalFormatting>
  <conditionalFormatting sqref="O113">
    <cfRule type="expression" dxfId="5" priority="8">
      <formula>#REF!="LLI"</formula>
    </cfRule>
  </conditionalFormatting>
  <conditionalFormatting sqref="O118">
    <cfRule type="expression" dxfId="4" priority="7">
      <formula>#REF!="LLI"</formula>
    </cfRule>
  </conditionalFormatting>
  <conditionalFormatting sqref="O54:Z54">
    <cfRule type="expression" dxfId="3" priority="5">
      <formula>#REF!="LLI"</formula>
    </cfRule>
  </conditionalFormatting>
  <conditionalFormatting sqref="P22:R22">
    <cfRule type="containsErrors" dxfId="2" priority="4">
      <formula>ISERROR(P22)</formula>
    </cfRule>
  </conditionalFormatting>
  <conditionalFormatting sqref="O115">
    <cfRule type="expression" dxfId="1" priority="2">
      <formula>#REF!="LLI"</formula>
    </cfRule>
  </conditionalFormatting>
  <conditionalFormatting sqref="O116">
    <cfRule type="expression" dxfId="0" priority="1">
      <formula>#REF!="LLI"</formula>
    </cfRule>
  </conditionalFormatting>
  <hyperlinks>
    <hyperlink ref="AD50" location="_ftn1" display="_ftn1" xr:uid="{00000000-0004-0000-1000-000000000000}"/>
    <hyperlink ref="AD74" location="_ftn3" display="_ftn3" xr:uid="{00000000-0004-0000-1000-000001000000}"/>
    <hyperlink ref="AD38" location="_ftn4" display="_ftn4" xr:uid="{00000000-0004-0000-1000-000002000000}"/>
    <hyperlink ref="AD44" location="_ftn5" display="_ftn5" xr:uid="{00000000-0004-0000-1000-000003000000}"/>
    <hyperlink ref="AD54" location="_ftn6" display="_ftn6" xr:uid="{00000000-0004-0000-1000-000004000000}"/>
    <hyperlink ref="AD56" location="_ftn7" display="_ftn7" xr:uid="{00000000-0004-0000-1000-000005000000}"/>
    <hyperlink ref="AD45" location="_ftn1" display="_ftn1" xr:uid="{00000000-0004-0000-1000-000006000000}"/>
    <hyperlink ref="AD60" location="_ftn2" display="_ftn2" xr:uid="{00000000-0004-0000-1000-000007000000}"/>
    <hyperlink ref="AD70" location="_ftn3" display="_ftn3" xr:uid="{00000000-0004-0000-1000-000008000000}"/>
    <hyperlink ref="AD73" location="_ftn4" display="_ftn4" xr:uid="{00000000-0004-0000-1000-000009000000}"/>
    <hyperlink ref="AD42" location="_ftn1" display="_ftn1" xr:uid="{00000000-0004-0000-1000-00000A000000}"/>
    <hyperlink ref="AD75" location="_ftn2" display="_ftn2" xr:uid="{00000000-0004-0000-1000-00000B000000}"/>
  </hyperlinks>
  <pageMargins left="0.511811024" right="0.511811024" top="0.78740157499999996" bottom="0.78740157499999996" header="0.31496062000000002" footer="0.31496062000000002"/>
  <pageSetup paperSize="9" orientation="portrait" verticalDpi="300"/>
  <drawing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3978"/>
  </sheetPr>
  <dimension ref="A6:AE155"/>
  <sheetViews>
    <sheetView showGridLines="0" zoomScale="90" zoomScaleNormal="90" workbookViewId="0">
      <selection activeCell="P21" sqref="P21"/>
    </sheetView>
  </sheetViews>
  <sheetFormatPr defaultColWidth="8.88671875" defaultRowHeight="14.4" outlineLevelRow="2"/>
  <cols>
    <col min="1" max="1" width="2" style="14" customWidth="1"/>
    <col min="2" max="2" width="5.88671875" style="14" customWidth="1"/>
    <col min="3" max="3" width="13" style="14" customWidth="1"/>
    <col min="4" max="4" width="10.44140625" style="14" customWidth="1"/>
    <col min="5" max="5" width="11.109375" style="14" customWidth="1"/>
    <col min="6" max="7" width="10.88671875" style="14" customWidth="1"/>
    <col min="8" max="8" width="11.109375" style="14" customWidth="1"/>
    <col min="9" max="9" width="11" style="14" customWidth="1"/>
    <col min="10" max="10" width="12.44140625" style="14" customWidth="1"/>
    <col min="11" max="11" width="14.88671875" style="14" customWidth="1"/>
    <col min="12" max="12" width="13" style="14" customWidth="1"/>
    <col min="13" max="13" width="15.88671875" style="14" bestFit="1" customWidth="1"/>
    <col min="14" max="14" width="16" style="14" customWidth="1"/>
    <col min="15" max="15" width="11.6640625" style="14" customWidth="1"/>
    <col min="16" max="16" width="12.44140625" style="14" customWidth="1"/>
    <col min="17" max="16384" width="8.88671875" style="14"/>
  </cols>
  <sheetData>
    <row r="6" spans="1:19" ht="15" thickBot="1">
      <c r="B6" s="34"/>
      <c r="C6" s="34"/>
      <c r="D6" s="34"/>
      <c r="E6" s="34"/>
      <c r="F6" s="34"/>
      <c r="G6" s="34"/>
      <c r="H6" s="34"/>
      <c r="I6" s="34"/>
      <c r="J6" s="34"/>
      <c r="K6" s="34"/>
      <c r="L6" s="34"/>
      <c r="M6" s="34"/>
      <c r="N6" s="34"/>
      <c r="O6" s="34"/>
      <c r="P6" s="34"/>
    </row>
    <row r="7" spans="1:19" ht="16.2" thickTop="1">
      <c r="B7" s="2059" t="s">
        <v>1164</v>
      </c>
      <c r="C7" s="2060"/>
      <c r="D7" s="2060"/>
      <c r="E7" s="2060"/>
      <c r="F7" s="2060"/>
      <c r="G7" s="2060"/>
      <c r="H7" s="2060"/>
      <c r="I7" s="2060"/>
      <c r="J7" s="2060"/>
      <c r="K7" s="2060"/>
      <c r="L7" s="2060"/>
      <c r="M7" s="2060"/>
      <c r="N7" s="2060"/>
      <c r="O7" s="2060"/>
      <c r="P7" s="2061"/>
      <c r="R7" s="20"/>
      <c r="S7" s="20"/>
    </row>
    <row r="8" spans="1:19" ht="15.6">
      <c r="B8" s="809"/>
      <c r="C8" s="20"/>
      <c r="D8" s="810"/>
      <c r="E8" s="20"/>
      <c r="F8" s="20"/>
      <c r="G8" s="20"/>
      <c r="H8" s="20"/>
      <c r="I8" s="20"/>
      <c r="J8" s="20"/>
      <c r="K8" s="20"/>
      <c r="L8" s="20"/>
      <c r="M8" s="20"/>
      <c r="N8" s="20"/>
      <c r="O8" s="20"/>
      <c r="P8" s="450"/>
      <c r="R8" s="20"/>
      <c r="S8" s="20"/>
    </row>
    <row r="9" spans="1:19" ht="15.6">
      <c r="B9" s="809"/>
      <c r="C9" s="1172"/>
      <c r="D9" s="810"/>
      <c r="F9" s="2075" t="s">
        <v>1522</v>
      </c>
      <c r="G9" s="2075"/>
      <c r="H9" s="1172"/>
      <c r="I9" s="1172"/>
      <c r="J9" s="1172"/>
      <c r="K9" s="1172"/>
      <c r="L9" s="1172"/>
      <c r="M9" s="1172"/>
      <c r="N9" s="1172"/>
      <c r="O9" s="1172"/>
      <c r="P9" s="450"/>
      <c r="R9" s="1172"/>
      <c r="S9" s="1172"/>
    </row>
    <row r="10" spans="1:19" ht="15" customHeight="1">
      <c r="A10" s="20"/>
      <c r="B10" s="50"/>
      <c r="D10" s="811"/>
      <c r="E10" s="2074" t="s">
        <v>1295</v>
      </c>
      <c r="F10" s="2074"/>
      <c r="G10" s="2074"/>
      <c r="H10" s="2074"/>
      <c r="I10" s="2074"/>
      <c r="J10" s="2074"/>
      <c r="K10" s="2074"/>
      <c r="L10" s="2074"/>
      <c r="M10" s="2074"/>
      <c r="N10" s="2074"/>
      <c r="O10" s="2074"/>
      <c r="P10" s="450"/>
      <c r="R10" s="20"/>
      <c r="S10" s="20"/>
    </row>
    <row r="11" spans="1:19">
      <c r="A11" s="20"/>
      <c r="B11" s="50"/>
      <c r="C11" s="811"/>
      <c r="D11" s="811"/>
      <c r="E11" s="2074"/>
      <c r="F11" s="2074"/>
      <c r="G11" s="2074"/>
      <c r="H11" s="2074"/>
      <c r="I11" s="2074"/>
      <c r="J11" s="2074"/>
      <c r="K11" s="2074"/>
      <c r="L11" s="2074"/>
      <c r="M11" s="2074"/>
      <c r="N11" s="2074"/>
      <c r="O11" s="2074"/>
      <c r="P11" s="450"/>
      <c r="R11" s="20"/>
      <c r="S11" s="20"/>
    </row>
    <row r="12" spans="1:19">
      <c r="A12" s="1172"/>
      <c r="B12" s="50"/>
      <c r="C12" s="811"/>
      <c r="D12" s="811"/>
      <c r="E12" s="1200"/>
      <c r="F12" s="1200"/>
      <c r="G12" s="1200"/>
      <c r="H12" s="1200"/>
      <c r="I12" s="1200"/>
      <c r="J12" s="1200"/>
      <c r="K12" s="1200"/>
      <c r="L12" s="1200"/>
      <c r="M12" s="1200"/>
      <c r="N12" s="1200"/>
      <c r="O12" s="1200"/>
      <c r="P12" s="450"/>
      <c r="R12" s="1172"/>
      <c r="S12" s="1172"/>
    </row>
    <row r="13" spans="1:19">
      <c r="A13" s="20"/>
      <c r="B13" s="50"/>
      <c r="C13" s="811"/>
      <c r="D13" s="811"/>
      <c r="E13" s="811"/>
      <c r="F13" s="811"/>
      <c r="G13" s="811"/>
      <c r="H13" s="811"/>
      <c r="I13" s="811"/>
      <c r="J13" s="811"/>
      <c r="K13" s="811"/>
      <c r="L13" s="811"/>
      <c r="M13" s="811"/>
      <c r="N13" s="811"/>
      <c r="O13" s="20"/>
      <c r="P13" s="450"/>
      <c r="R13" s="20"/>
      <c r="S13" s="20"/>
    </row>
    <row r="14" spans="1:19" ht="15.6">
      <c r="A14" s="20"/>
      <c r="B14" s="50"/>
      <c r="C14" s="1149" t="s">
        <v>1097</v>
      </c>
      <c r="D14" s="811"/>
      <c r="E14" s="811"/>
      <c r="F14" s="811"/>
      <c r="G14" s="811"/>
      <c r="H14" s="811"/>
      <c r="I14" s="811"/>
      <c r="J14" s="811"/>
      <c r="K14" s="811"/>
      <c r="L14" s="811"/>
      <c r="M14" s="811"/>
      <c r="N14" s="811"/>
      <c r="O14" s="20"/>
      <c r="P14" s="450"/>
      <c r="R14" s="20"/>
      <c r="S14" s="20"/>
    </row>
    <row r="15" spans="1:19" ht="48.75" customHeight="1" outlineLevel="1">
      <c r="A15" s="20"/>
      <c r="B15" s="50"/>
      <c r="C15" s="2071" t="s">
        <v>1182</v>
      </c>
      <c r="D15" s="2071"/>
      <c r="E15" s="2071"/>
      <c r="F15" s="2071"/>
      <c r="G15" s="2071"/>
      <c r="H15" s="2071"/>
      <c r="I15" s="2071"/>
      <c r="J15" s="2071"/>
      <c r="K15" s="2071"/>
      <c r="L15" s="2071"/>
      <c r="M15" s="2071"/>
      <c r="N15" s="2071"/>
      <c r="O15" s="2071"/>
      <c r="P15" s="812"/>
      <c r="R15" s="20"/>
      <c r="S15" s="20"/>
    </row>
    <row r="16" spans="1:19" outlineLevel="1">
      <c r="A16" s="20"/>
      <c r="B16" s="50"/>
      <c r="C16" s="813"/>
      <c r="D16" s="813"/>
      <c r="E16" s="813"/>
      <c r="F16" s="813"/>
      <c r="G16" s="813"/>
      <c r="H16" s="813"/>
      <c r="I16" s="813"/>
      <c r="J16" s="813"/>
      <c r="K16" s="813"/>
      <c r="L16" s="813"/>
      <c r="M16" s="813"/>
      <c r="N16" s="813"/>
      <c r="O16" s="813"/>
      <c r="P16" s="814"/>
      <c r="R16" s="20"/>
      <c r="S16" s="20"/>
    </row>
    <row r="17" spans="1:19" ht="15.6" outlineLevel="1">
      <c r="A17" s="450"/>
      <c r="B17" s="2062" t="s">
        <v>488</v>
      </c>
      <c r="C17" s="2063"/>
      <c r="D17" s="2063"/>
      <c r="E17" s="2063"/>
      <c r="F17" s="2063"/>
      <c r="G17" s="2063"/>
      <c r="H17" s="2063"/>
      <c r="I17" s="2063"/>
      <c r="J17" s="2063"/>
      <c r="K17" s="2063"/>
      <c r="L17" s="2063"/>
      <c r="M17" s="2063"/>
      <c r="N17" s="2063"/>
      <c r="O17" s="2063"/>
      <c r="P17" s="2064"/>
      <c r="R17" s="20"/>
      <c r="S17" s="20"/>
    </row>
    <row r="18" spans="1:19" ht="16.2" outlineLevel="2" thickBot="1">
      <c r="A18" s="20"/>
      <c r="B18" s="815"/>
      <c r="C18" s="816"/>
      <c r="D18" s="816"/>
      <c r="E18" s="816"/>
      <c r="F18" s="816"/>
      <c r="G18" s="816"/>
      <c r="H18" s="816"/>
      <c r="I18" s="816"/>
      <c r="J18" s="817"/>
      <c r="K18" s="816"/>
      <c r="L18" s="816"/>
      <c r="M18" s="816"/>
      <c r="N18" s="816"/>
      <c r="O18" s="816"/>
      <c r="P18" s="818"/>
      <c r="Q18" s="20"/>
      <c r="R18" s="819"/>
      <c r="S18" s="20"/>
    </row>
    <row r="19" spans="1:19" outlineLevel="2">
      <c r="A19" s="20"/>
      <c r="B19" s="50"/>
      <c r="C19" s="20"/>
      <c r="D19" s="1091" t="s">
        <v>499</v>
      </c>
      <c r="E19" s="622"/>
      <c r="F19" s="622"/>
      <c r="G19" s="622"/>
      <c r="H19" s="622"/>
      <c r="I19" s="820"/>
      <c r="J19" s="20"/>
      <c r="K19" s="1098" t="s">
        <v>492</v>
      </c>
      <c r="L19" s="1098" t="s">
        <v>24</v>
      </c>
      <c r="M19" s="1098" t="s">
        <v>1069</v>
      </c>
      <c r="N19" s="821"/>
      <c r="O19" s="20"/>
      <c r="P19" s="450"/>
      <c r="R19" s="20"/>
      <c r="S19" s="20"/>
    </row>
    <row r="20" spans="1:19" ht="15.6" outlineLevel="2">
      <c r="A20" s="20"/>
      <c r="B20" s="50"/>
      <c r="C20" s="20"/>
      <c r="D20" s="150" t="s">
        <v>1448</v>
      </c>
      <c r="E20" s="20"/>
      <c r="F20" s="20"/>
      <c r="G20" s="20"/>
      <c r="H20" s="20"/>
      <c r="I20" s="20"/>
      <c r="J20" s="20"/>
      <c r="K20" s="822"/>
      <c r="L20" s="825" t="s">
        <v>1185</v>
      </c>
      <c r="M20" s="2069" t="s">
        <v>1230</v>
      </c>
      <c r="N20" s="2070"/>
      <c r="O20" s="20"/>
      <c r="P20" s="450"/>
      <c r="R20" s="20"/>
      <c r="S20" s="20"/>
    </row>
    <row r="21" spans="1:19" ht="28.5" customHeight="1" outlineLevel="2">
      <c r="A21" s="20"/>
      <c r="B21" s="50"/>
      <c r="C21" s="20"/>
      <c r="D21" s="2067" t="s">
        <v>1682</v>
      </c>
      <c r="E21" s="2068"/>
      <c r="F21" s="2068"/>
      <c r="G21" s="2068"/>
      <c r="H21" s="2068"/>
      <c r="I21" s="2068"/>
      <c r="J21" s="2068"/>
      <c r="K21" s="824" t="str">
        <f>IFERROR(0.00984*(SQRT(K22^2+K23^2))^0.63*((K23/K22)*100)^1.18,"")</f>
        <v/>
      </c>
      <c r="L21" s="825" t="s">
        <v>1185</v>
      </c>
      <c r="N21" s="826"/>
      <c r="O21" s="342"/>
      <c r="P21" s="450"/>
      <c r="R21" s="20"/>
      <c r="S21" s="20"/>
    </row>
    <row r="22" spans="1:19" outlineLevel="2">
      <c r="A22" s="20"/>
      <c r="B22" s="50"/>
      <c r="C22" s="20"/>
      <c r="D22" s="827"/>
      <c r="E22" s="748"/>
      <c r="F22" s="748"/>
      <c r="G22" s="748"/>
      <c r="H22" s="748"/>
      <c r="I22" s="748"/>
      <c r="J22" s="828" t="s">
        <v>1165</v>
      </c>
      <c r="K22" s="829"/>
      <c r="L22" s="830" t="s">
        <v>1086</v>
      </c>
      <c r="M22" s="831"/>
      <c r="N22" s="832"/>
      <c r="O22" s="20"/>
      <c r="P22" s="450"/>
      <c r="R22" s="20"/>
      <c r="S22" s="20"/>
    </row>
    <row r="23" spans="1:19" outlineLevel="2">
      <c r="A23" s="20"/>
      <c r="B23" s="50"/>
      <c r="C23" s="833"/>
      <c r="D23" s="20"/>
      <c r="E23" s="748"/>
      <c r="F23" s="748"/>
      <c r="G23" s="748"/>
      <c r="H23" s="748"/>
      <c r="I23" s="748"/>
      <c r="J23" s="828" t="s">
        <v>1166</v>
      </c>
      <c r="K23" s="831"/>
      <c r="L23" s="830" t="s">
        <v>1086</v>
      </c>
      <c r="M23" s="831"/>
      <c r="N23" s="832"/>
      <c r="O23" s="20"/>
      <c r="P23" s="450"/>
      <c r="R23" s="20"/>
      <c r="S23" s="20"/>
    </row>
    <row r="24" spans="1:19" ht="15.6" outlineLevel="2">
      <c r="A24" s="20"/>
      <c r="B24" s="50"/>
      <c r="C24" s="20"/>
      <c r="D24" s="834" t="s">
        <v>1449</v>
      </c>
      <c r="E24" s="20"/>
      <c r="F24" s="20"/>
      <c r="G24" s="20"/>
      <c r="H24" s="20"/>
      <c r="I24" s="20"/>
      <c r="J24" s="20"/>
      <c r="K24" s="684"/>
      <c r="L24" s="684"/>
      <c r="M24" s="684"/>
      <c r="N24" s="696"/>
      <c r="O24" s="20"/>
      <c r="P24" s="450"/>
      <c r="R24" s="20"/>
      <c r="S24" s="20"/>
    </row>
    <row r="25" spans="1:19" outlineLevel="2">
      <c r="A25" s="20"/>
      <c r="B25" s="50"/>
      <c r="C25" s="20"/>
      <c r="D25" s="835"/>
      <c r="E25" s="20"/>
      <c r="F25" s="20"/>
      <c r="G25" s="20"/>
      <c r="H25" s="20"/>
      <c r="I25" s="20"/>
      <c r="J25" s="836" t="s">
        <v>1094</v>
      </c>
      <c r="K25" s="837"/>
      <c r="L25" s="838" t="s">
        <v>1089</v>
      </c>
      <c r="M25" s="829"/>
      <c r="N25" s="839"/>
      <c r="O25" s="20"/>
      <c r="P25" s="450"/>
      <c r="R25" s="20"/>
      <c r="S25" s="20"/>
    </row>
    <row r="26" spans="1:19" outlineLevel="2">
      <c r="A26" s="20"/>
      <c r="B26" s="50"/>
      <c r="C26" s="20"/>
      <c r="D26" s="827"/>
      <c r="E26" s="20"/>
      <c r="F26" s="20"/>
      <c r="G26" s="20"/>
      <c r="H26" s="20"/>
      <c r="I26" s="20"/>
      <c r="J26" s="836" t="s">
        <v>1091</v>
      </c>
      <c r="K26" s="497"/>
      <c r="L26" s="830" t="s">
        <v>1089</v>
      </c>
      <c r="M26" s="2072" t="s">
        <v>1284</v>
      </c>
      <c r="N26" s="2073"/>
      <c r="O26" s="20"/>
      <c r="P26" s="450"/>
      <c r="R26" s="20"/>
      <c r="S26" s="20"/>
    </row>
    <row r="27" spans="1:19" outlineLevel="2">
      <c r="A27" s="20"/>
      <c r="B27" s="50"/>
      <c r="C27" s="20"/>
      <c r="D27" s="827"/>
      <c r="E27" s="20"/>
      <c r="F27" s="20"/>
      <c r="G27" s="20"/>
      <c r="H27" s="20"/>
      <c r="I27" s="20"/>
      <c r="J27" s="836" t="s">
        <v>1092</v>
      </c>
      <c r="K27" s="497"/>
      <c r="L27" s="838" t="s">
        <v>1089</v>
      </c>
      <c r="M27" s="2072" t="s">
        <v>1284</v>
      </c>
      <c r="N27" s="2073"/>
      <c r="O27" s="20"/>
      <c r="P27" s="450"/>
      <c r="R27" s="20"/>
      <c r="S27" s="20"/>
    </row>
    <row r="28" spans="1:19" outlineLevel="2">
      <c r="A28" s="20"/>
      <c r="B28" s="50"/>
      <c r="C28" s="20"/>
      <c r="D28" s="827"/>
      <c r="E28" s="20"/>
      <c r="F28" s="20"/>
      <c r="G28" s="20"/>
      <c r="H28" s="20"/>
      <c r="I28" s="20"/>
      <c r="J28" s="836" t="s">
        <v>1093</v>
      </c>
      <c r="K28" s="497"/>
      <c r="L28" s="830" t="s">
        <v>1089</v>
      </c>
      <c r="M28" s="831"/>
      <c r="N28" s="832"/>
      <c r="O28" s="20"/>
      <c r="P28" s="450"/>
      <c r="R28" s="20"/>
      <c r="S28" s="20"/>
    </row>
    <row r="29" spans="1:19" outlineLevel="2">
      <c r="A29" s="20"/>
      <c r="B29" s="50"/>
      <c r="C29" s="20"/>
      <c r="D29" s="827"/>
      <c r="E29" s="20"/>
      <c r="F29" s="20"/>
      <c r="G29" s="20"/>
      <c r="H29" s="20"/>
      <c r="I29" s="20"/>
      <c r="J29" s="836" t="s">
        <v>1095</v>
      </c>
      <c r="K29" s="497"/>
      <c r="L29" s="838" t="s">
        <v>1089</v>
      </c>
      <c r="M29" s="829"/>
      <c r="N29" s="839"/>
      <c r="O29" s="20"/>
      <c r="P29" s="450"/>
      <c r="R29" s="20"/>
      <c r="S29" s="20"/>
    </row>
    <row r="30" spans="1:19" outlineLevel="2">
      <c r="A30" s="20"/>
      <c r="B30" s="50"/>
      <c r="C30" s="20"/>
      <c r="D30" s="1150" t="s">
        <v>0</v>
      </c>
      <c r="E30" s="20"/>
      <c r="F30" s="20"/>
      <c r="G30" s="234"/>
      <c r="H30" s="234"/>
      <c r="I30" s="234"/>
      <c r="J30" s="234"/>
      <c r="K30" s="234"/>
      <c r="L30" s="20"/>
      <c r="M30" s="20"/>
      <c r="N30" s="833"/>
      <c r="O30" s="20"/>
      <c r="P30" s="450"/>
      <c r="R30" s="20"/>
      <c r="S30" s="20"/>
    </row>
    <row r="31" spans="1:19" outlineLevel="2">
      <c r="A31" s="20"/>
      <c r="B31" s="50"/>
      <c r="C31" s="20"/>
      <c r="D31" s="1069" t="s">
        <v>1183</v>
      </c>
      <c r="E31" s="20"/>
      <c r="F31" s="20"/>
      <c r="G31" s="234"/>
      <c r="H31" s="234"/>
      <c r="I31" s="234"/>
      <c r="J31" s="234"/>
      <c r="K31" s="234"/>
      <c r="L31" s="20"/>
      <c r="M31" s="20"/>
      <c r="N31" s="833"/>
      <c r="O31" s="20"/>
      <c r="P31" s="450"/>
      <c r="R31" s="20"/>
      <c r="S31" s="20"/>
    </row>
    <row r="32" spans="1:19" ht="15.6" outlineLevel="2">
      <c r="A32" s="20"/>
      <c r="B32" s="50"/>
      <c r="C32" s="20"/>
      <c r="D32" s="827"/>
      <c r="E32" s="841" t="s">
        <v>931</v>
      </c>
      <c r="F32" s="842" t="s">
        <v>1450</v>
      </c>
      <c r="G32" s="842" t="s">
        <v>1451</v>
      </c>
      <c r="H32" s="842" t="s">
        <v>1452</v>
      </c>
      <c r="I32" s="842" t="s">
        <v>1453</v>
      </c>
      <c r="J32" s="843" t="s">
        <v>1454</v>
      </c>
      <c r="K32" s="844" t="s">
        <v>1455</v>
      </c>
      <c r="L32" s="845" t="s">
        <v>1456</v>
      </c>
      <c r="M32" s="846" t="s">
        <v>1457</v>
      </c>
      <c r="N32" s="833"/>
      <c r="O32" s="20"/>
      <c r="P32" s="450"/>
      <c r="R32" s="20"/>
      <c r="S32" s="20"/>
    </row>
    <row r="33" spans="1:25" outlineLevel="2">
      <c r="A33" s="20"/>
      <c r="B33" s="50"/>
      <c r="C33" s="20"/>
      <c r="D33" s="827"/>
      <c r="E33" s="847">
        <v>1</v>
      </c>
      <c r="F33" s="848"/>
      <c r="G33" s="849"/>
      <c r="H33" s="849"/>
      <c r="I33" s="850"/>
      <c r="J33" s="320"/>
      <c r="K33" s="851">
        <f>F33*G33*H33*I33*J33</f>
        <v>0</v>
      </c>
      <c r="L33" s="320"/>
      <c r="M33" s="852">
        <f>F33*G33*H33*I33*L33</f>
        <v>0</v>
      </c>
      <c r="N33" s="833"/>
      <c r="O33" s="20"/>
      <c r="P33" s="450"/>
      <c r="R33" s="20"/>
      <c r="S33" s="20"/>
    </row>
    <row r="34" spans="1:25" outlineLevel="2">
      <c r="A34" s="20"/>
      <c r="B34" s="50"/>
      <c r="C34" s="20"/>
      <c r="D34" s="827"/>
      <c r="E34" s="847">
        <v>2</v>
      </c>
      <c r="F34" s="848"/>
      <c r="G34" s="849"/>
      <c r="H34" s="849"/>
      <c r="I34" s="850"/>
      <c r="J34" s="320"/>
      <c r="K34" s="851">
        <f t="shared" ref="K34:K38" si="0">F34*G34*H34*I34*J34</f>
        <v>0</v>
      </c>
      <c r="L34" s="320"/>
      <c r="M34" s="852">
        <f>F34*G34*H34*I34*L34</f>
        <v>0</v>
      </c>
      <c r="N34" s="833"/>
      <c r="O34" s="20"/>
      <c r="P34" s="450"/>
      <c r="R34" s="20"/>
      <c r="S34" s="20"/>
    </row>
    <row r="35" spans="1:25" outlineLevel="2">
      <c r="A35" s="20"/>
      <c r="B35" s="50"/>
      <c r="C35" s="20"/>
      <c r="D35" s="827"/>
      <c r="E35" s="847">
        <v>3</v>
      </c>
      <c r="F35" s="848"/>
      <c r="G35" s="849"/>
      <c r="H35" s="849"/>
      <c r="I35" s="850"/>
      <c r="J35" s="320"/>
      <c r="K35" s="851">
        <f t="shared" si="0"/>
        <v>0</v>
      </c>
      <c r="L35" s="320"/>
      <c r="M35" s="852">
        <f t="shared" ref="M35:M38" si="1">F35*G35*H35*I35*L35</f>
        <v>0</v>
      </c>
      <c r="N35" s="833"/>
      <c r="O35" s="853"/>
      <c r="P35" s="854"/>
      <c r="R35" s="853"/>
      <c r="S35" s="853"/>
      <c r="T35" s="853"/>
    </row>
    <row r="36" spans="1:25" outlineLevel="2">
      <c r="A36" s="20"/>
      <c r="B36" s="50"/>
      <c r="C36" s="20"/>
      <c r="D36" s="827"/>
      <c r="E36" s="847">
        <v>4</v>
      </c>
      <c r="F36" s="848"/>
      <c r="G36" s="849"/>
      <c r="H36" s="849"/>
      <c r="I36" s="850"/>
      <c r="J36" s="320"/>
      <c r="K36" s="851">
        <f t="shared" si="0"/>
        <v>0</v>
      </c>
      <c r="L36" s="320"/>
      <c r="M36" s="852">
        <f t="shared" si="1"/>
        <v>0</v>
      </c>
      <c r="N36" s="833"/>
      <c r="O36" s="20"/>
      <c r="P36" s="450"/>
      <c r="R36" s="20"/>
      <c r="S36" s="20"/>
    </row>
    <row r="37" spans="1:25" outlineLevel="2">
      <c r="A37" s="20"/>
      <c r="B37" s="50"/>
      <c r="C37" s="20"/>
      <c r="D37" s="827"/>
      <c r="E37" s="847">
        <v>5</v>
      </c>
      <c r="F37" s="848"/>
      <c r="G37" s="849"/>
      <c r="H37" s="849"/>
      <c r="I37" s="850"/>
      <c r="J37" s="320"/>
      <c r="K37" s="851">
        <f t="shared" si="0"/>
        <v>0</v>
      </c>
      <c r="L37" s="320"/>
      <c r="M37" s="852">
        <f t="shared" si="1"/>
        <v>0</v>
      </c>
      <c r="N37" s="833"/>
      <c r="O37" s="20"/>
      <c r="P37" s="450"/>
      <c r="R37" s="748"/>
      <c r="S37" s="748"/>
      <c r="T37" s="855"/>
      <c r="U37" s="855"/>
      <c r="V37" s="855"/>
      <c r="W37" s="855"/>
      <c r="X37" s="855"/>
      <c r="Y37" s="855"/>
    </row>
    <row r="38" spans="1:25" outlineLevel="2">
      <c r="A38" s="20"/>
      <c r="B38" s="50"/>
      <c r="C38" s="20"/>
      <c r="D38" s="827"/>
      <c r="E38" s="847">
        <v>6</v>
      </c>
      <c r="F38" s="848"/>
      <c r="G38" s="849"/>
      <c r="H38" s="849"/>
      <c r="I38" s="850"/>
      <c r="J38" s="320"/>
      <c r="K38" s="851">
        <f t="shared" si="0"/>
        <v>0</v>
      </c>
      <c r="L38" s="320"/>
      <c r="M38" s="852">
        <f t="shared" si="1"/>
        <v>0</v>
      </c>
      <c r="N38" s="856"/>
      <c r="O38" s="20"/>
      <c r="P38" s="450"/>
      <c r="R38" s="748"/>
      <c r="S38" s="748"/>
      <c r="T38" s="855"/>
      <c r="U38" s="855"/>
      <c r="V38" s="855"/>
      <c r="W38" s="855"/>
      <c r="X38" s="855"/>
      <c r="Y38" s="855"/>
    </row>
    <row r="39" spans="1:25" s="9" customFormat="1" outlineLevel="2">
      <c r="A39" s="451"/>
      <c r="B39" s="642"/>
      <c r="C39" s="451"/>
      <c r="D39" s="857"/>
      <c r="E39" s="695"/>
      <c r="F39" s="451"/>
      <c r="G39" s="451"/>
      <c r="H39" s="451"/>
      <c r="I39" s="451"/>
      <c r="J39" s="451"/>
      <c r="K39" s="858"/>
      <c r="L39" s="859"/>
      <c r="M39" s="858"/>
      <c r="N39" s="860"/>
      <c r="O39" s="451"/>
      <c r="P39" s="17"/>
      <c r="R39" s="630"/>
      <c r="S39" s="630"/>
      <c r="T39" s="861"/>
      <c r="U39" s="861"/>
      <c r="V39" s="861"/>
      <c r="W39" s="861"/>
      <c r="X39" s="861"/>
      <c r="Y39" s="861"/>
    </row>
    <row r="40" spans="1:25" ht="15.6" outlineLevel="2">
      <c r="A40" s="20"/>
      <c r="B40" s="50"/>
      <c r="C40" s="20"/>
      <c r="D40" s="827" t="s">
        <v>1458</v>
      </c>
      <c r="E40" s="20"/>
      <c r="F40" s="20"/>
      <c r="G40" s="20"/>
      <c r="H40" s="20"/>
      <c r="I40" s="20"/>
      <c r="J40" s="20"/>
      <c r="K40" s="862" t="str">
        <f>IFERROR(SUM(M33:M34)/SUM(F33:F34),"")</f>
        <v/>
      </c>
      <c r="L40" s="838" t="s">
        <v>1167</v>
      </c>
      <c r="M40" s="1980"/>
      <c r="N40" s="2066"/>
      <c r="O40" s="20"/>
      <c r="P40" s="450"/>
      <c r="R40" s="20"/>
      <c r="S40" s="20"/>
    </row>
    <row r="41" spans="1:25" ht="15" customHeight="1" outlineLevel="2">
      <c r="A41" s="20"/>
      <c r="B41" s="50"/>
      <c r="C41" s="20"/>
      <c r="D41" s="863" t="s">
        <v>1459</v>
      </c>
      <c r="E41" s="748"/>
      <c r="F41" s="748"/>
      <c r="G41" s="748"/>
      <c r="H41" s="748"/>
      <c r="I41" s="748"/>
      <c r="J41" s="748"/>
      <c r="K41" s="864" t="str">
        <f>IFERROR(SUM(K33:K38)/SUM(F33:F38),"")</f>
        <v/>
      </c>
      <c r="L41" s="830" t="s">
        <v>1167</v>
      </c>
      <c r="M41" s="1980"/>
      <c r="N41" s="2066"/>
      <c r="O41" s="20"/>
      <c r="P41" s="450"/>
      <c r="R41" s="20"/>
      <c r="S41" s="20"/>
    </row>
    <row r="42" spans="1:25" ht="15.6" outlineLevel="2">
      <c r="A42" s="20"/>
      <c r="B42" s="50"/>
      <c r="C42" s="20"/>
      <c r="D42" s="865" t="s">
        <v>1460</v>
      </c>
      <c r="E42" s="144"/>
      <c r="F42" s="144"/>
      <c r="G42" s="20"/>
      <c r="H42" s="20"/>
      <c r="I42" s="20"/>
      <c r="J42" s="20"/>
      <c r="K42" s="866">
        <f>SUM(K43:K48)</f>
        <v>0</v>
      </c>
      <c r="L42" s="867" t="s">
        <v>1099</v>
      </c>
      <c r="M42" s="829"/>
      <c r="N42" s="839"/>
      <c r="O42" s="20"/>
      <c r="P42" s="450"/>
      <c r="R42" s="20"/>
      <c r="S42" s="20"/>
    </row>
    <row r="43" spans="1:25" outlineLevel="2">
      <c r="A43" s="20"/>
      <c r="B43" s="50"/>
      <c r="C43" s="20"/>
      <c r="D43" s="857"/>
      <c r="E43" s="20"/>
      <c r="F43" s="20"/>
      <c r="G43" s="20"/>
      <c r="H43" s="20"/>
      <c r="I43" s="20"/>
      <c r="J43" s="868" t="s">
        <v>1096</v>
      </c>
      <c r="K43" s="869"/>
      <c r="L43" s="867" t="s">
        <v>1099</v>
      </c>
      <c r="M43" s="831"/>
      <c r="N43" s="832"/>
      <c r="O43" s="20"/>
      <c r="P43" s="450"/>
      <c r="R43" s="20"/>
      <c r="S43" s="20"/>
    </row>
    <row r="44" spans="1:25" outlineLevel="2">
      <c r="A44" s="20"/>
      <c r="B44" s="50"/>
      <c r="C44" s="20"/>
      <c r="D44" s="857"/>
      <c r="E44" s="20"/>
      <c r="F44" s="20"/>
      <c r="G44" s="20"/>
      <c r="H44" s="20"/>
      <c r="I44" s="20"/>
      <c r="J44" s="868" t="s">
        <v>1094</v>
      </c>
      <c r="K44" s="869"/>
      <c r="L44" s="867" t="s">
        <v>1099</v>
      </c>
      <c r="M44" s="831"/>
      <c r="N44" s="832"/>
      <c r="O44" s="20"/>
      <c r="P44" s="450"/>
      <c r="R44" s="20"/>
      <c r="S44" s="20"/>
    </row>
    <row r="45" spans="1:25" outlineLevel="2">
      <c r="A45" s="20"/>
      <c r="B45" s="50"/>
      <c r="C45" s="20"/>
      <c r="D45" s="857"/>
      <c r="E45" s="20"/>
      <c r="F45" s="20"/>
      <c r="G45" s="20"/>
      <c r="H45" s="20"/>
      <c r="I45" s="20"/>
      <c r="J45" s="868" t="s">
        <v>1091</v>
      </c>
      <c r="K45" s="869"/>
      <c r="L45" s="867" t="s">
        <v>1099</v>
      </c>
      <c r="M45" s="831"/>
      <c r="N45" s="832"/>
      <c r="O45" s="20"/>
      <c r="P45" s="450"/>
      <c r="R45" s="20"/>
      <c r="S45" s="20"/>
    </row>
    <row r="46" spans="1:25" outlineLevel="2">
      <c r="A46" s="20"/>
      <c r="B46" s="50"/>
      <c r="C46" s="20"/>
      <c r="D46" s="857"/>
      <c r="E46" s="20"/>
      <c r="F46" s="20"/>
      <c r="G46" s="20"/>
      <c r="H46" s="20"/>
      <c r="I46" s="20"/>
      <c r="J46" s="868" t="s">
        <v>1092</v>
      </c>
      <c r="K46" s="869"/>
      <c r="L46" s="867" t="s">
        <v>1099</v>
      </c>
      <c r="M46" s="831"/>
      <c r="N46" s="832"/>
      <c r="O46" s="20"/>
      <c r="P46" s="450"/>
      <c r="R46" s="20"/>
      <c r="S46" s="20"/>
    </row>
    <row r="47" spans="1:25" outlineLevel="2">
      <c r="A47" s="20"/>
      <c r="B47" s="50"/>
      <c r="C47" s="20"/>
      <c r="D47" s="857"/>
      <c r="E47" s="20"/>
      <c r="F47" s="20"/>
      <c r="G47" s="20"/>
      <c r="H47" s="20"/>
      <c r="I47" s="20"/>
      <c r="J47" s="868" t="str">
        <f>J28</f>
        <v xml:space="preserve">Outro 1 (O1) </v>
      </c>
      <c r="K47" s="869"/>
      <c r="L47" s="867" t="s">
        <v>1099</v>
      </c>
      <c r="M47" s="831"/>
      <c r="N47" s="832"/>
      <c r="O47" s="20"/>
      <c r="P47" s="450"/>
      <c r="R47" s="20"/>
      <c r="S47" s="20"/>
    </row>
    <row r="48" spans="1:25" outlineLevel="2">
      <c r="A48" s="20"/>
      <c r="B48" s="50"/>
      <c r="C48" s="20"/>
      <c r="D48" s="827"/>
      <c r="E48" s="20"/>
      <c r="F48" s="20"/>
      <c r="G48" s="20"/>
      <c r="H48" s="20"/>
      <c r="I48" s="20"/>
      <c r="J48" s="868" t="str">
        <f>J29</f>
        <v>Outro 2 (O2)</v>
      </c>
      <c r="K48" s="869"/>
      <c r="L48" s="867" t="s">
        <v>1099</v>
      </c>
      <c r="M48" s="831"/>
      <c r="N48" s="832"/>
      <c r="O48" s="20"/>
      <c r="P48" s="450"/>
      <c r="R48" s="20"/>
      <c r="S48" s="20"/>
    </row>
    <row r="49" spans="1:20" outlineLevel="2">
      <c r="A49" s="20"/>
      <c r="B49" s="50"/>
      <c r="C49" s="20"/>
      <c r="D49" s="827" t="s">
        <v>1461</v>
      </c>
      <c r="E49" s="20"/>
      <c r="F49" s="20"/>
      <c r="G49" s="20"/>
      <c r="H49" s="20"/>
      <c r="I49" s="20"/>
      <c r="J49" s="20"/>
      <c r="K49" s="870"/>
      <c r="L49" s="830" t="s">
        <v>13</v>
      </c>
      <c r="M49" s="831"/>
      <c r="N49" s="832"/>
      <c r="O49" s="20"/>
      <c r="P49" s="450"/>
      <c r="R49" s="20"/>
      <c r="S49" s="20"/>
    </row>
    <row r="50" spans="1:20" ht="15.6" outlineLevel="2">
      <c r="A50" s="20"/>
      <c r="B50" s="50"/>
      <c r="C50" s="20"/>
      <c r="D50" s="871"/>
      <c r="E50" s="20"/>
      <c r="F50" s="20"/>
      <c r="G50" s="20"/>
      <c r="H50" s="20"/>
      <c r="I50" s="20"/>
      <c r="J50" s="20"/>
      <c r="K50" s="872"/>
      <c r="L50" s="20"/>
      <c r="M50" s="684"/>
      <c r="N50" s="873"/>
      <c r="O50" s="20"/>
      <c r="P50" s="450"/>
      <c r="R50" s="20"/>
      <c r="S50" s="20"/>
    </row>
    <row r="51" spans="1:20" outlineLevel="2">
      <c r="A51" s="20"/>
      <c r="B51" s="50"/>
      <c r="C51" s="20"/>
      <c r="D51" s="1150" t="s">
        <v>1</v>
      </c>
      <c r="E51" s="20"/>
      <c r="F51" s="20"/>
      <c r="G51" s="20"/>
      <c r="H51" s="20"/>
      <c r="I51" s="20"/>
      <c r="J51" s="20"/>
      <c r="K51" s="20"/>
      <c r="L51" s="20"/>
      <c r="M51" s="20"/>
      <c r="N51" s="833"/>
      <c r="O51" s="20"/>
      <c r="P51" s="450"/>
      <c r="R51" s="20"/>
      <c r="S51" s="20"/>
    </row>
    <row r="52" spans="1:20" outlineLevel="2">
      <c r="A52" s="20"/>
      <c r="B52" s="50"/>
      <c r="C52" s="20"/>
      <c r="D52" s="1069" t="s">
        <v>1173</v>
      </c>
      <c r="E52" s="20"/>
      <c r="F52" s="20"/>
      <c r="G52" s="20"/>
      <c r="H52" s="20"/>
      <c r="I52" s="20"/>
      <c r="J52" s="874"/>
      <c r="K52" s="20"/>
      <c r="L52" s="20"/>
      <c r="M52" s="20"/>
      <c r="N52" s="833"/>
      <c r="O52" s="20"/>
      <c r="P52" s="450"/>
      <c r="R52" s="20"/>
      <c r="S52" s="20"/>
    </row>
    <row r="53" spans="1:20" ht="15.6" outlineLevel="2">
      <c r="A53" s="20"/>
      <c r="B53" s="50"/>
      <c r="C53" s="20"/>
      <c r="D53" s="827"/>
      <c r="E53" s="841" t="s">
        <v>931</v>
      </c>
      <c r="F53" s="842" t="s">
        <v>1450</v>
      </c>
      <c r="G53" s="842" t="s">
        <v>1451</v>
      </c>
      <c r="H53" s="842" t="s">
        <v>1452</v>
      </c>
      <c r="I53" s="842" t="s">
        <v>1453</v>
      </c>
      <c r="J53" s="843" t="s">
        <v>1454</v>
      </c>
      <c r="K53" s="844" t="s">
        <v>1455</v>
      </c>
      <c r="L53" s="841" t="s">
        <v>1462</v>
      </c>
      <c r="M53" s="847" t="s">
        <v>1463</v>
      </c>
      <c r="N53" s="833"/>
      <c r="O53" s="20"/>
      <c r="P53" s="450"/>
      <c r="R53" s="20"/>
      <c r="S53" s="20"/>
    </row>
    <row r="54" spans="1:20" outlineLevel="2">
      <c r="A54" s="20"/>
      <c r="B54" s="50"/>
      <c r="C54" s="20"/>
      <c r="D54" s="827"/>
      <c r="E54" s="847">
        <v>1</v>
      </c>
      <c r="F54" s="848"/>
      <c r="G54" s="849"/>
      <c r="H54" s="849"/>
      <c r="I54" s="850"/>
      <c r="J54" s="320"/>
      <c r="K54" s="851">
        <f>F54*G54*H54*I54*J54</f>
        <v>0</v>
      </c>
      <c r="L54" s="320"/>
      <c r="M54" s="851">
        <f t="shared" ref="M54:M59" si="2">F54*G54*H54*I54*L54</f>
        <v>0</v>
      </c>
      <c r="N54" s="833"/>
      <c r="O54" s="20"/>
      <c r="P54" s="450"/>
      <c r="R54" s="20"/>
      <c r="S54" s="20"/>
    </row>
    <row r="55" spans="1:20" outlineLevel="2">
      <c r="A55" s="20"/>
      <c r="B55" s="50"/>
      <c r="C55" s="20"/>
      <c r="D55" s="827"/>
      <c r="E55" s="847">
        <v>2</v>
      </c>
      <c r="F55" s="848"/>
      <c r="G55" s="849"/>
      <c r="H55" s="849"/>
      <c r="I55" s="850"/>
      <c r="J55" s="320"/>
      <c r="K55" s="851">
        <f t="shared" ref="K55:K59" si="3">F55*G55*H55*I55*J55</f>
        <v>0</v>
      </c>
      <c r="L55" s="320"/>
      <c r="M55" s="851">
        <f t="shared" si="2"/>
        <v>0</v>
      </c>
      <c r="N55" s="833"/>
      <c r="O55" s="20"/>
      <c r="P55" s="450"/>
      <c r="R55" s="20"/>
      <c r="S55" s="20"/>
    </row>
    <row r="56" spans="1:20" outlineLevel="2">
      <c r="A56" s="20"/>
      <c r="B56" s="50"/>
      <c r="C56" s="20"/>
      <c r="D56" s="827"/>
      <c r="E56" s="847">
        <v>3</v>
      </c>
      <c r="F56" s="848"/>
      <c r="G56" s="849"/>
      <c r="H56" s="849"/>
      <c r="I56" s="850"/>
      <c r="J56" s="320"/>
      <c r="K56" s="851">
        <f t="shared" si="3"/>
        <v>0</v>
      </c>
      <c r="L56" s="320"/>
      <c r="M56" s="851">
        <f t="shared" si="2"/>
        <v>0</v>
      </c>
      <c r="N56" s="833"/>
      <c r="O56" s="20"/>
      <c r="P56" s="450"/>
      <c r="R56" s="20"/>
      <c r="S56" s="20"/>
    </row>
    <row r="57" spans="1:20" outlineLevel="2">
      <c r="A57" s="20"/>
      <c r="B57" s="50"/>
      <c r="C57" s="20"/>
      <c r="D57" s="827"/>
      <c r="E57" s="847">
        <v>4</v>
      </c>
      <c r="F57" s="848"/>
      <c r="G57" s="849"/>
      <c r="H57" s="849"/>
      <c r="I57" s="850"/>
      <c r="J57" s="320"/>
      <c r="K57" s="851">
        <f t="shared" si="3"/>
        <v>0</v>
      </c>
      <c r="L57" s="320"/>
      <c r="M57" s="851">
        <f t="shared" si="2"/>
        <v>0</v>
      </c>
      <c r="N57" s="833"/>
      <c r="O57" s="20"/>
      <c r="P57" s="450"/>
      <c r="R57" s="20"/>
      <c r="S57" s="20"/>
    </row>
    <row r="58" spans="1:20" outlineLevel="2">
      <c r="A58" s="20"/>
      <c r="B58" s="50"/>
      <c r="C58" s="20"/>
      <c r="D58" s="827"/>
      <c r="E58" s="847">
        <v>5</v>
      </c>
      <c r="F58" s="848"/>
      <c r="G58" s="849"/>
      <c r="H58" s="849"/>
      <c r="I58" s="850"/>
      <c r="J58" s="320"/>
      <c r="K58" s="851">
        <f t="shared" si="3"/>
        <v>0</v>
      </c>
      <c r="L58" s="320"/>
      <c r="M58" s="851">
        <f t="shared" si="2"/>
        <v>0</v>
      </c>
      <c r="N58" s="833"/>
      <c r="O58" s="20"/>
      <c r="P58" s="450"/>
      <c r="R58" s="20"/>
      <c r="S58" s="20"/>
    </row>
    <row r="59" spans="1:20" outlineLevel="2">
      <c r="A59" s="20"/>
      <c r="B59" s="50"/>
      <c r="C59" s="20"/>
      <c r="D59" s="827"/>
      <c r="E59" s="847">
        <v>6</v>
      </c>
      <c r="F59" s="848"/>
      <c r="G59" s="849"/>
      <c r="H59" s="849"/>
      <c r="I59" s="850"/>
      <c r="J59" s="320"/>
      <c r="K59" s="851">
        <f t="shared" si="3"/>
        <v>0</v>
      </c>
      <c r="L59" s="320"/>
      <c r="M59" s="851">
        <f t="shared" si="2"/>
        <v>0</v>
      </c>
      <c r="N59" s="833"/>
      <c r="O59" s="20"/>
      <c r="P59" s="450"/>
      <c r="R59" s="20"/>
      <c r="S59" s="20"/>
    </row>
    <row r="60" spans="1:20" outlineLevel="2">
      <c r="A60" s="20"/>
      <c r="B60" s="50"/>
      <c r="C60" s="20"/>
      <c r="D60" s="827"/>
      <c r="E60" s="684"/>
      <c r="F60" s="20"/>
      <c r="G60" s="20"/>
      <c r="H60" s="20"/>
      <c r="I60" s="20"/>
      <c r="J60" s="20"/>
      <c r="K60" s="872"/>
      <c r="L60" s="20"/>
      <c r="M60" s="875"/>
      <c r="N60" s="833"/>
      <c r="O60" s="20"/>
      <c r="P60" s="450"/>
      <c r="R60" s="20"/>
      <c r="S60" s="20"/>
    </row>
    <row r="61" spans="1:20" ht="15.6" outlineLevel="2">
      <c r="A61" s="20"/>
      <c r="B61" s="50"/>
      <c r="C61" s="20"/>
      <c r="D61" s="827" t="s">
        <v>1458</v>
      </c>
      <c r="E61" s="876"/>
      <c r="F61" s="876"/>
      <c r="G61" s="876"/>
      <c r="H61" s="877"/>
      <c r="I61" s="20"/>
      <c r="J61" s="878"/>
      <c r="K61" s="879" t="str">
        <f>IFERROR(SUM(M54:M59)/SUM(F54:F59),"")</f>
        <v/>
      </c>
      <c r="L61" s="838" t="s">
        <v>1167</v>
      </c>
      <c r="M61" s="1985"/>
      <c r="N61" s="2065"/>
      <c r="O61" s="20"/>
      <c r="P61" s="450"/>
      <c r="R61" s="20"/>
      <c r="S61" s="20"/>
    </row>
    <row r="62" spans="1:20" ht="15.6" outlineLevel="2">
      <c r="A62" s="20"/>
      <c r="B62" s="50"/>
      <c r="C62" s="20"/>
      <c r="D62" s="863" t="s">
        <v>1459</v>
      </c>
      <c r="E62" s="876"/>
      <c r="F62" s="876"/>
      <c r="G62" s="876"/>
      <c r="H62" s="877"/>
      <c r="I62" s="20"/>
      <c r="J62" s="878"/>
      <c r="K62" s="880" t="str">
        <f>IFERROR(SUM(K54:K59)/SUM(F54:F59),"")</f>
        <v/>
      </c>
      <c r="L62" s="830" t="s">
        <v>1167</v>
      </c>
      <c r="M62" s="1985"/>
      <c r="N62" s="1985"/>
      <c r="O62" s="827"/>
      <c r="P62" s="450"/>
      <c r="R62" s="20"/>
      <c r="S62" s="20"/>
    </row>
    <row r="63" spans="1:20" ht="15.6" outlineLevel="2">
      <c r="A63" s="20"/>
      <c r="B63" s="50"/>
      <c r="C63" s="20"/>
      <c r="D63" s="865" t="s">
        <v>1464</v>
      </c>
      <c r="E63" s="112"/>
      <c r="F63" s="112"/>
      <c r="G63" s="112"/>
      <c r="H63" s="112"/>
      <c r="I63" s="20"/>
      <c r="J63" s="20"/>
      <c r="K63" s="881">
        <f>SUM(K64:K69)</f>
        <v>0</v>
      </c>
      <c r="L63" s="867" t="s">
        <v>1099</v>
      </c>
      <c r="M63" s="829"/>
      <c r="N63" s="839"/>
      <c r="O63" s="20"/>
      <c r="P63" s="450"/>
      <c r="R63" s="20"/>
      <c r="S63" s="748"/>
      <c r="T63" s="855"/>
    </row>
    <row r="64" spans="1:20" outlineLevel="2">
      <c r="A64" s="20"/>
      <c r="B64" s="50"/>
      <c r="C64" s="20"/>
      <c r="D64" s="882"/>
      <c r="E64" s="112"/>
      <c r="F64" s="112"/>
      <c r="G64" s="112"/>
      <c r="H64" s="20"/>
      <c r="I64" s="20"/>
      <c r="J64" s="836" t="s">
        <v>1096</v>
      </c>
      <c r="K64" s="883"/>
      <c r="L64" s="867" t="s">
        <v>1099</v>
      </c>
      <c r="M64" s="831"/>
      <c r="N64" s="832"/>
      <c r="O64" s="20"/>
      <c r="P64" s="450"/>
      <c r="R64" s="20"/>
      <c r="S64" s="748"/>
      <c r="T64" s="855"/>
    </row>
    <row r="65" spans="1:31" outlineLevel="2">
      <c r="A65" s="20"/>
      <c r="B65" s="50"/>
      <c r="C65" s="20"/>
      <c r="D65" s="882"/>
      <c r="E65" s="112"/>
      <c r="F65" s="112"/>
      <c r="G65" s="112"/>
      <c r="H65" s="20"/>
      <c r="I65" s="20"/>
      <c r="J65" s="836" t="s">
        <v>1094</v>
      </c>
      <c r="K65" s="883"/>
      <c r="L65" s="867" t="s">
        <v>1099</v>
      </c>
      <c r="M65" s="831"/>
      <c r="N65" s="832"/>
      <c r="O65" s="20"/>
      <c r="P65" s="450"/>
      <c r="R65" s="20"/>
      <c r="S65" s="20"/>
    </row>
    <row r="66" spans="1:31" outlineLevel="2">
      <c r="A66" s="20"/>
      <c r="B66" s="50"/>
      <c r="C66" s="20"/>
      <c r="D66" s="882"/>
      <c r="E66" s="112"/>
      <c r="F66" s="112"/>
      <c r="G66" s="112"/>
      <c r="H66" s="20"/>
      <c r="I66" s="20"/>
      <c r="J66" s="836" t="s">
        <v>1091</v>
      </c>
      <c r="K66" s="883"/>
      <c r="L66" s="867" t="s">
        <v>1099</v>
      </c>
      <c r="M66" s="831"/>
      <c r="N66" s="832"/>
      <c r="O66" s="20"/>
      <c r="P66" s="450"/>
      <c r="R66" s="20"/>
      <c r="S66" s="20"/>
    </row>
    <row r="67" spans="1:31" outlineLevel="2">
      <c r="A67" s="20"/>
      <c r="B67" s="50"/>
      <c r="C67" s="20"/>
      <c r="D67" s="882"/>
      <c r="E67" s="112"/>
      <c r="F67" s="112"/>
      <c r="G67" s="112"/>
      <c r="H67" s="20"/>
      <c r="I67" s="20"/>
      <c r="J67" s="836" t="s">
        <v>1092</v>
      </c>
      <c r="K67" s="883"/>
      <c r="L67" s="867" t="s">
        <v>1099</v>
      </c>
      <c r="M67" s="831"/>
      <c r="N67" s="832"/>
      <c r="O67" s="20"/>
      <c r="P67" s="450"/>
      <c r="R67" s="20"/>
      <c r="S67" s="20"/>
    </row>
    <row r="68" spans="1:31" outlineLevel="2">
      <c r="A68" s="20"/>
      <c r="B68" s="50"/>
      <c r="C68" s="20"/>
      <c r="D68" s="882"/>
      <c r="E68" s="112"/>
      <c r="F68" s="112"/>
      <c r="G68" s="112"/>
      <c r="H68" s="20"/>
      <c r="I68" s="20"/>
      <c r="J68" s="836" t="str">
        <f>J47</f>
        <v xml:space="preserve">Outro 1 (O1) </v>
      </c>
      <c r="K68" s="883"/>
      <c r="L68" s="867" t="s">
        <v>1099</v>
      </c>
      <c r="M68" s="831"/>
      <c r="N68" s="832"/>
      <c r="O68" s="20"/>
      <c r="P68" s="450"/>
      <c r="R68" s="20"/>
      <c r="S68" s="20"/>
    </row>
    <row r="69" spans="1:31" outlineLevel="2">
      <c r="A69" s="20"/>
      <c r="B69" s="50"/>
      <c r="C69" s="20"/>
      <c r="D69" s="269"/>
      <c r="E69" s="112"/>
      <c r="F69" s="112"/>
      <c r="G69" s="112"/>
      <c r="H69" s="20"/>
      <c r="I69" s="20"/>
      <c r="J69" s="836" t="str">
        <f>J48</f>
        <v>Outro 2 (O2)</v>
      </c>
      <c r="K69" s="883"/>
      <c r="L69" s="867" t="s">
        <v>1099</v>
      </c>
      <c r="M69" s="831"/>
      <c r="N69" s="832"/>
      <c r="O69" s="20"/>
      <c r="P69" s="450"/>
      <c r="R69" s="20"/>
      <c r="S69" s="20"/>
    </row>
    <row r="70" spans="1:31" ht="16.2" outlineLevel="2" thickBot="1">
      <c r="A70" s="20"/>
      <c r="B70" s="50"/>
      <c r="C70" s="20"/>
      <c r="D70" s="884" t="s">
        <v>1461</v>
      </c>
      <c r="E70" s="885"/>
      <c r="F70" s="885"/>
      <c r="G70" s="885"/>
      <c r="H70" s="886"/>
      <c r="I70" s="885"/>
      <c r="J70" s="887"/>
      <c r="K70" s="888"/>
      <c r="L70" s="889" t="s">
        <v>13</v>
      </c>
      <c r="M70" s="890"/>
      <c r="N70" s="891"/>
      <c r="O70" s="20"/>
      <c r="P70" s="450"/>
      <c r="R70" s="892"/>
      <c r="S70" s="892"/>
      <c r="T70" s="892"/>
      <c r="U70" s="892"/>
      <c r="V70" s="892"/>
      <c r="W70" s="892"/>
      <c r="X70" s="892"/>
      <c r="Y70" s="892"/>
      <c r="Z70" s="892"/>
      <c r="AA70" s="892"/>
      <c r="AB70" s="892"/>
      <c r="AC70" s="892"/>
      <c r="AD70" s="892"/>
      <c r="AE70" s="892"/>
    </row>
    <row r="71" spans="1:31" ht="15.6" outlineLevel="2">
      <c r="A71" s="20"/>
      <c r="B71" s="50"/>
      <c r="C71" s="20"/>
      <c r="D71" s="20"/>
      <c r="E71" s="20"/>
      <c r="F71" s="20"/>
      <c r="G71" s="20"/>
      <c r="H71" s="893"/>
      <c r="I71" s="20"/>
      <c r="J71" s="894"/>
      <c r="K71" s="895"/>
      <c r="L71" s="451"/>
      <c r="M71" s="695"/>
      <c r="N71" s="695"/>
      <c r="O71" s="20"/>
      <c r="P71" s="450"/>
      <c r="R71" s="892"/>
      <c r="S71" s="892"/>
      <c r="T71" s="892"/>
      <c r="U71" s="892"/>
      <c r="V71" s="892"/>
      <c r="W71" s="892"/>
      <c r="X71" s="892"/>
      <c r="Y71" s="892"/>
      <c r="Z71" s="892"/>
      <c r="AA71" s="892"/>
      <c r="AB71" s="892"/>
      <c r="AC71" s="892"/>
      <c r="AD71" s="892"/>
      <c r="AE71" s="892"/>
    </row>
    <row r="72" spans="1:31" ht="15.6" outlineLevel="1">
      <c r="A72" s="20"/>
      <c r="B72" s="896"/>
      <c r="C72" s="897"/>
      <c r="D72" s="897"/>
      <c r="E72" s="897"/>
      <c r="F72" s="897"/>
      <c r="G72" s="897"/>
      <c r="H72" s="897"/>
      <c r="I72" s="897"/>
      <c r="J72" s="897"/>
      <c r="K72" s="859"/>
      <c r="L72" s="859"/>
      <c r="M72" s="859"/>
      <c r="N72" s="859"/>
      <c r="O72" s="897"/>
      <c r="P72" s="898"/>
      <c r="R72" s="892"/>
      <c r="S72" s="892"/>
      <c r="T72" s="892"/>
      <c r="U72" s="892"/>
      <c r="V72" s="892"/>
      <c r="W72" s="892"/>
      <c r="X72" s="892"/>
      <c r="Y72" s="892"/>
      <c r="Z72" s="892"/>
      <c r="AA72" s="892"/>
      <c r="AB72" s="892"/>
      <c r="AC72" s="892"/>
      <c r="AD72" s="892"/>
      <c r="AE72" s="892"/>
    </row>
    <row r="73" spans="1:31" ht="15.6" outlineLevel="1">
      <c r="A73" s="450"/>
      <c r="B73" s="899"/>
      <c r="C73" s="2058" t="s">
        <v>1062</v>
      </c>
      <c r="D73" s="2058"/>
      <c r="E73" s="2058"/>
      <c r="F73" s="2058"/>
      <c r="G73" s="2058"/>
      <c r="H73" s="2058"/>
      <c r="I73" s="2058"/>
      <c r="J73" s="2058"/>
      <c r="K73" s="2058"/>
      <c r="L73" s="2058"/>
      <c r="M73" s="2058"/>
      <c r="N73" s="2058"/>
      <c r="O73" s="2058"/>
      <c r="P73" s="900"/>
      <c r="R73" s="892"/>
      <c r="S73" s="20"/>
    </row>
    <row r="74" spans="1:31" outlineLevel="1">
      <c r="A74" s="20"/>
      <c r="B74" s="50"/>
      <c r="C74" s="20"/>
      <c r="D74" s="20"/>
      <c r="E74" s="20"/>
      <c r="F74" s="20"/>
      <c r="G74" s="20"/>
      <c r="H74" s="20"/>
      <c r="I74" s="20"/>
      <c r="J74" s="20"/>
      <c r="K74" s="20"/>
      <c r="L74" s="20"/>
      <c r="M74" s="20"/>
      <c r="N74" s="20"/>
      <c r="O74" s="20"/>
      <c r="P74" s="450"/>
      <c r="R74" s="20"/>
      <c r="S74" s="20"/>
    </row>
    <row r="75" spans="1:31" ht="16.2" outlineLevel="1" thickBot="1">
      <c r="A75" s="20"/>
      <c r="B75" s="50"/>
      <c r="C75" s="901" t="s">
        <v>0</v>
      </c>
      <c r="D75" s="901"/>
      <c r="E75" s="901"/>
      <c r="F75" s="901"/>
      <c r="G75" s="20"/>
      <c r="H75" s="20"/>
      <c r="I75" s="20"/>
      <c r="J75" s="901" t="s">
        <v>1</v>
      </c>
      <c r="K75" s="901"/>
      <c r="L75" s="901"/>
      <c r="M75" s="901"/>
      <c r="N75" s="20"/>
      <c r="O75" s="451"/>
      <c r="P75" s="450"/>
      <c r="R75" s="20"/>
      <c r="S75" s="20"/>
    </row>
    <row r="76" spans="1:31" ht="18" outlineLevel="1">
      <c r="A76" s="20"/>
      <c r="B76" s="50"/>
      <c r="C76" s="1095" t="s">
        <v>1515</v>
      </c>
      <c r="D76" s="1151"/>
      <c r="E76" s="1152"/>
      <c r="F76" s="1151"/>
      <c r="G76" s="1152"/>
      <c r="H76" s="1153"/>
      <c r="I76" s="20"/>
      <c r="J76" s="1241" t="s">
        <v>1098</v>
      </c>
      <c r="K76" s="1280"/>
      <c r="L76" s="1281"/>
      <c r="M76" s="1280"/>
      <c r="N76" s="1243"/>
      <c r="O76" s="451"/>
      <c r="P76" s="450"/>
      <c r="R76" s="20"/>
      <c r="S76" s="20"/>
    </row>
    <row r="77" spans="1:31" ht="15.6" outlineLevel="1">
      <c r="A77" s="20"/>
      <c r="B77" s="50"/>
      <c r="C77" s="1096"/>
      <c r="D77" s="1154" t="s">
        <v>1090</v>
      </c>
      <c r="E77" s="1155"/>
      <c r="F77" s="1156" t="str">
        <f>IF(K25="","",K25*($K$40-$K$41))</f>
        <v/>
      </c>
      <c r="G77" s="1157" t="s">
        <v>1088</v>
      </c>
      <c r="H77" s="1158"/>
      <c r="I77" s="20"/>
      <c r="J77" s="1244"/>
      <c r="K77" s="1282" t="s">
        <v>1090</v>
      </c>
      <c r="L77" s="1283" t="str">
        <f>IF(K25="","",K25*($K$61-$K$62))</f>
        <v/>
      </c>
      <c r="M77" s="1282" t="s">
        <v>1088</v>
      </c>
      <c r="N77" s="1284"/>
      <c r="O77" s="451"/>
      <c r="P77" s="450"/>
      <c r="R77" s="20"/>
      <c r="S77" s="20"/>
    </row>
    <row r="78" spans="1:31" ht="15.6" outlineLevel="1">
      <c r="A78" s="20"/>
      <c r="B78" s="50"/>
      <c r="C78" s="1096"/>
      <c r="D78" s="1154" t="s">
        <v>1091</v>
      </c>
      <c r="E78" s="1155"/>
      <c r="F78" s="1156" t="str">
        <f>IF(K26="","",K26*($K$40-$K$41))</f>
        <v/>
      </c>
      <c r="G78" s="1157" t="s">
        <v>1088</v>
      </c>
      <c r="H78" s="1158"/>
      <c r="I78" s="20"/>
      <c r="J78" s="1244"/>
      <c r="K78" s="1282" t="s">
        <v>1091</v>
      </c>
      <c r="L78" s="1283" t="str">
        <f>IF(K26="","",K26*($K$61-$K$62))</f>
        <v/>
      </c>
      <c r="M78" s="1282" t="s">
        <v>1088</v>
      </c>
      <c r="N78" s="1284"/>
      <c r="O78" s="451"/>
      <c r="P78" s="450"/>
      <c r="R78" s="20"/>
      <c r="S78" s="20"/>
    </row>
    <row r="79" spans="1:31" ht="15.6" outlineLevel="1">
      <c r="A79" s="20"/>
      <c r="B79" s="50"/>
      <c r="C79" s="1096"/>
      <c r="D79" s="1154" t="s">
        <v>1092</v>
      </c>
      <c r="E79" s="1155"/>
      <c r="F79" s="1156" t="str">
        <f>IF(K27="","",K27*($K$40-$K$41))</f>
        <v/>
      </c>
      <c r="G79" s="1157" t="s">
        <v>1088</v>
      </c>
      <c r="H79" s="1158"/>
      <c r="I79" s="20"/>
      <c r="J79" s="1244"/>
      <c r="K79" s="1282" t="s">
        <v>1092</v>
      </c>
      <c r="L79" s="1283" t="str">
        <f>IF(K27="","",K27*($K$61-$K$62))</f>
        <v/>
      </c>
      <c r="M79" s="1282" t="s">
        <v>1088</v>
      </c>
      <c r="N79" s="1284"/>
      <c r="O79" s="451"/>
      <c r="P79" s="450"/>
      <c r="R79" s="20"/>
      <c r="S79" s="20"/>
    </row>
    <row r="80" spans="1:31" ht="15.6" outlineLevel="1">
      <c r="A80" s="20"/>
      <c r="B80" s="50"/>
      <c r="C80" s="1096"/>
      <c r="D80" s="1154" t="str">
        <f>$J$28</f>
        <v xml:space="preserve">Outro 1 (O1) </v>
      </c>
      <c r="E80" s="1155"/>
      <c r="F80" s="1156" t="str">
        <f>IF(K28="","",K28*($K$40-$K$41))</f>
        <v/>
      </c>
      <c r="G80" s="1157" t="s">
        <v>1088</v>
      </c>
      <c r="H80" s="1158"/>
      <c r="I80" s="20"/>
      <c r="J80" s="1244"/>
      <c r="K80" s="1282" t="str">
        <f>$J$28</f>
        <v xml:space="preserve">Outro 1 (O1) </v>
      </c>
      <c r="L80" s="1283" t="str">
        <f>IF(K28="","",K28*($K$61-$K$62))</f>
        <v/>
      </c>
      <c r="M80" s="1282" t="s">
        <v>1088</v>
      </c>
      <c r="N80" s="1284"/>
      <c r="O80" s="451"/>
      <c r="P80" s="450"/>
      <c r="R80" s="20"/>
      <c r="S80" s="20"/>
    </row>
    <row r="81" spans="1:19" ht="15.6" outlineLevel="1">
      <c r="A81" s="20"/>
      <c r="B81" s="50"/>
      <c r="C81" s="1096"/>
      <c r="D81" s="1154" t="str">
        <f>$J$29</f>
        <v>Outro 2 (O2)</v>
      </c>
      <c r="E81" s="1155"/>
      <c r="F81" s="1156" t="str">
        <f>IF(K29="","",K29*($K$40-$K$41))</f>
        <v/>
      </c>
      <c r="G81" s="1157" t="s">
        <v>1088</v>
      </c>
      <c r="H81" s="1158"/>
      <c r="I81" s="20"/>
      <c r="J81" s="1244"/>
      <c r="K81" s="1282" t="str">
        <f>$J$29</f>
        <v>Outro 2 (O2)</v>
      </c>
      <c r="L81" s="1283" t="str">
        <f>IF(K29="","",K29*($K$61-$K$62))</f>
        <v/>
      </c>
      <c r="M81" s="1282" t="s">
        <v>1088</v>
      </c>
      <c r="N81" s="1284"/>
      <c r="O81" s="451"/>
      <c r="P81" s="450"/>
      <c r="R81" s="20"/>
      <c r="S81" s="20"/>
    </row>
    <row r="82" spans="1:19" ht="16.2" outlineLevel="1" thickBot="1">
      <c r="A82" s="20"/>
      <c r="B82" s="50"/>
      <c r="C82" s="1097" t="s">
        <v>492</v>
      </c>
      <c r="D82" s="1159"/>
      <c r="E82" s="2083">
        <f>K42*SUM(F33:F38)+K49</f>
        <v>0</v>
      </c>
      <c r="F82" s="2083"/>
      <c r="G82" s="1159" t="s">
        <v>13</v>
      </c>
      <c r="H82" s="1160"/>
      <c r="I82" s="20"/>
      <c r="J82" s="1237" t="s">
        <v>492</v>
      </c>
      <c r="K82" s="2084">
        <f>K63*SUM(F54:F59)+K70</f>
        <v>0</v>
      </c>
      <c r="L82" s="2084"/>
      <c r="M82" s="1285" t="s">
        <v>13</v>
      </c>
      <c r="N82" s="1286"/>
      <c r="O82" s="451"/>
      <c r="P82" s="450"/>
      <c r="R82" s="20"/>
      <c r="S82" s="20"/>
    </row>
    <row r="83" spans="1:19" outlineLevel="1">
      <c r="A83" s="20"/>
      <c r="B83" s="50"/>
      <c r="C83" s="20"/>
      <c r="D83" s="20"/>
      <c r="E83" s="20"/>
      <c r="F83" s="20"/>
      <c r="G83" s="20"/>
      <c r="H83" s="20"/>
      <c r="I83" s="20"/>
      <c r="J83" s="20"/>
      <c r="K83" s="20"/>
      <c r="L83" s="20"/>
      <c r="M83" s="20"/>
      <c r="N83" s="20"/>
      <c r="O83" s="451"/>
      <c r="P83" s="450"/>
      <c r="R83" s="20"/>
      <c r="S83" s="20"/>
    </row>
    <row r="84" spans="1:19" outlineLevel="1">
      <c r="A84" s="20"/>
      <c r="B84" s="50"/>
      <c r="C84" s="20"/>
      <c r="D84" s="20"/>
      <c r="E84" s="20"/>
      <c r="F84" s="20"/>
      <c r="G84" s="20"/>
      <c r="H84" s="20"/>
      <c r="I84" s="20"/>
      <c r="J84" s="20"/>
      <c r="K84" s="20"/>
      <c r="L84" s="20"/>
      <c r="M84" s="20"/>
      <c r="N84" s="20"/>
      <c r="O84" s="451"/>
      <c r="P84" s="450"/>
      <c r="R84" s="20"/>
      <c r="S84" s="20"/>
    </row>
    <row r="85" spans="1:19" outlineLevel="1">
      <c r="A85" s="20"/>
      <c r="B85" s="50"/>
      <c r="C85" s="20"/>
      <c r="D85" s="20"/>
      <c r="E85" s="20"/>
      <c r="F85" s="20"/>
      <c r="G85" s="20"/>
      <c r="H85" s="20"/>
      <c r="I85" s="20"/>
      <c r="J85" s="20"/>
      <c r="K85" s="20"/>
      <c r="L85" s="20"/>
      <c r="M85" s="20"/>
      <c r="N85" s="20"/>
      <c r="O85" s="451"/>
      <c r="P85" s="450"/>
      <c r="R85" s="20"/>
      <c r="S85" s="20"/>
    </row>
    <row r="86" spans="1:19">
      <c r="A86" s="20"/>
      <c r="B86" s="50"/>
      <c r="C86" s="20"/>
      <c r="D86" s="20"/>
      <c r="E86" s="20"/>
      <c r="F86" s="20"/>
      <c r="G86" s="20"/>
      <c r="H86" s="20"/>
      <c r="I86" s="20"/>
      <c r="J86" s="20"/>
      <c r="K86" s="20"/>
      <c r="L86" s="20"/>
      <c r="M86" s="20"/>
      <c r="N86" s="20"/>
      <c r="O86" s="451"/>
      <c r="P86" s="450"/>
      <c r="R86" s="20"/>
      <c r="S86" s="20"/>
    </row>
    <row r="87" spans="1:19" ht="15.6">
      <c r="A87" s="20"/>
      <c r="B87" s="50"/>
      <c r="C87" s="1102" t="s">
        <v>1100</v>
      </c>
      <c r="D87" s="20"/>
      <c r="E87" s="20"/>
      <c r="F87" s="20"/>
      <c r="G87" s="20"/>
      <c r="H87" s="20"/>
      <c r="I87" s="20"/>
      <c r="J87" s="20"/>
      <c r="K87" s="20"/>
      <c r="L87" s="20"/>
      <c r="M87" s="20"/>
      <c r="N87" s="20"/>
      <c r="O87" s="20"/>
      <c r="P87" s="450"/>
    </row>
    <row r="88" spans="1:19" ht="49.5" hidden="1" customHeight="1" outlineLevel="1">
      <c r="A88" s="20"/>
      <c r="B88" s="50"/>
      <c r="C88" s="1922" t="s">
        <v>1170</v>
      </c>
      <c r="D88" s="1922"/>
      <c r="E88" s="1922"/>
      <c r="F88" s="1922"/>
      <c r="G88" s="1922"/>
      <c r="H88" s="1922"/>
      <c r="I88" s="1922"/>
      <c r="J88" s="1922"/>
      <c r="K88" s="1922"/>
      <c r="L88" s="1922"/>
      <c r="M88" s="1922"/>
      <c r="N88" s="1922"/>
      <c r="O88" s="1922"/>
      <c r="P88" s="450"/>
    </row>
    <row r="89" spans="1:19" hidden="1" outlineLevel="1">
      <c r="A89" s="20"/>
      <c r="B89" s="50"/>
      <c r="C89" s="671"/>
      <c r="D89" s="671"/>
      <c r="E89" s="671"/>
      <c r="F89" s="671"/>
      <c r="G89" s="671"/>
      <c r="H89" s="671"/>
      <c r="I89" s="671"/>
      <c r="J89" s="671"/>
      <c r="K89" s="671"/>
      <c r="L89" s="671"/>
      <c r="M89" s="671"/>
      <c r="N89" s="671"/>
      <c r="O89" s="671"/>
      <c r="P89" s="450"/>
      <c r="Q89" s="20"/>
    </row>
    <row r="90" spans="1:19" ht="15.6" hidden="1" outlineLevel="1">
      <c r="A90" s="450"/>
      <c r="B90" s="2076" t="s">
        <v>488</v>
      </c>
      <c r="C90" s="2077"/>
      <c r="D90" s="2077"/>
      <c r="E90" s="2077"/>
      <c r="F90" s="2077"/>
      <c r="G90" s="2077"/>
      <c r="H90" s="2077"/>
      <c r="I90" s="2077"/>
      <c r="J90" s="2077"/>
      <c r="K90" s="2077"/>
      <c r="L90" s="2077"/>
      <c r="M90" s="2077"/>
      <c r="N90" s="2077"/>
      <c r="O90" s="2077"/>
      <c r="P90" s="2078"/>
    </row>
    <row r="91" spans="1:19" ht="16.2" hidden="1" outlineLevel="2" thickBot="1">
      <c r="A91" s="20"/>
      <c r="B91" s="815"/>
      <c r="C91" s="816"/>
      <c r="D91" s="816"/>
      <c r="E91" s="816"/>
      <c r="F91" s="816"/>
      <c r="G91" s="816"/>
      <c r="H91" s="816"/>
      <c r="I91" s="816"/>
      <c r="J91" s="816"/>
      <c r="K91" s="816"/>
      <c r="L91" s="816"/>
      <c r="M91" s="816"/>
      <c r="N91" s="816"/>
      <c r="O91" s="816"/>
      <c r="P91" s="818"/>
      <c r="Q91" s="20"/>
    </row>
    <row r="92" spans="1:19" hidden="1" outlineLevel="2">
      <c r="A92" s="20"/>
      <c r="B92" s="50"/>
      <c r="C92" s="902"/>
      <c r="D92" s="1091" t="s">
        <v>499</v>
      </c>
      <c r="E92" s="622"/>
      <c r="F92" s="622"/>
      <c r="G92" s="622"/>
      <c r="H92" s="622"/>
      <c r="I92" s="820"/>
      <c r="J92" s="820"/>
      <c r="K92" s="1098" t="s">
        <v>492</v>
      </c>
      <c r="L92" s="1098" t="s">
        <v>24</v>
      </c>
      <c r="M92" s="2006" t="s">
        <v>1069</v>
      </c>
      <c r="N92" s="2007"/>
      <c r="O92" s="827"/>
      <c r="P92" s="450"/>
    </row>
    <row r="93" spans="1:19" ht="15.6" hidden="1" outlineLevel="2">
      <c r="B93" s="50"/>
      <c r="C93" s="20"/>
      <c r="D93" s="150" t="s">
        <v>1448</v>
      </c>
      <c r="E93" s="20"/>
      <c r="F93" s="20"/>
      <c r="G93" s="20"/>
      <c r="H93" s="20"/>
      <c r="I93" s="20"/>
      <c r="J93" s="20"/>
      <c r="K93" s="822"/>
      <c r="L93" s="823"/>
      <c r="M93" s="2069" t="s">
        <v>1230</v>
      </c>
      <c r="N93" s="2070"/>
      <c r="O93" s="827"/>
      <c r="P93" s="450"/>
    </row>
    <row r="94" spans="1:19" ht="15" hidden="1" customHeight="1" outlineLevel="2">
      <c r="B94" s="50"/>
      <c r="C94" s="20"/>
      <c r="D94" s="2067" t="s">
        <v>1169</v>
      </c>
      <c r="E94" s="2068"/>
      <c r="F94" s="2068"/>
      <c r="G94" s="2068"/>
      <c r="H94" s="2068"/>
      <c r="I94" s="2068"/>
      <c r="J94" s="2068"/>
      <c r="K94" s="824" t="str">
        <f>IFERROR(0.00984*(SQRT(K95^2+K96^2))^0.63*((K96/K95)*100)^1.18,"")</f>
        <v/>
      </c>
      <c r="L94" s="825"/>
      <c r="M94" s="825" t="s">
        <v>1185</v>
      </c>
      <c r="N94" s="826"/>
      <c r="O94" s="827"/>
      <c r="P94" s="450"/>
    </row>
    <row r="95" spans="1:19" hidden="1" outlineLevel="2">
      <c r="A95" s="20"/>
      <c r="B95" s="50"/>
      <c r="C95" s="20"/>
      <c r="D95" s="827"/>
      <c r="E95" s="748"/>
      <c r="F95" s="748"/>
      <c r="G95" s="748"/>
      <c r="H95" s="748"/>
      <c r="I95" s="748"/>
      <c r="J95" s="828" t="s">
        <v>1165</v>
      </c>
      <c r="K95" s="829"/>
      <c r="L95" s="830" t="s">
        <v>1086</v>
      </c>
      <c r="M95" s="831"/>
      <c r="N95" s="832"/>
      <c r="O95" s="827"/>
      <c r="P95" s="450"/>
    </row>
    <row r="96" spans="1:19" hidden="1" outlineLevel="2">
      <c r="B96" s="50"/>
      <c r="C96" s="20"/>
      <c r="D96" s="827"/>
      <c r="E96" s="748"/>
      <c r="F96" s="748"/>
      <c r="G96" s="748"/>
      <c r="H96" s="748"/>
      <c r="I96" s="748"/>
      <c r="J96" s="828" t="s">
        <v>1166</v>
      </c>
      <c r="K96" s="831"/>
      <c r="L96" s="830" t="s">
        <v>1086</v>
      </c>
      <c r="M96" s="831"/>
      <c r="N96" s="832"/>
      <c r="O96" s="827"/>
      <c r="P96" s="450"/>
    </row>
    <row r="97" spans="2:16" ht="15.6" hidden="1" outlineLevel="2">
      <c r="B97" s="50"/>
      <c r="C97" s="20"/>
      <c r="D97" s="834" t="s">
        <v>1465</v>
      </c>
      <c r="E97" s="20"/>
      <c r="F97" s="20"/>
      <c r="G97" s="144"/>
      <c r="H97" s="836"/>
      <c r="I97" s="20"/>
      <c r="J97" s="20"/>
      <c r="K97" s="624"/>
      <c r="L97" s="267" t="s">
        <v>1086</v>
      </c>
      <c r="M97" s="831"/>
      <c r="N97" s="832"/>
      <c r="O97" s="827"/>
      <c r="P97" s="450"/>
    </row>
    <row r="98" spans="2:16" ht="15.6" hidden="1" outlineLevel="2">
      <c r="B98" s="50"/>
      <c r="C98" s="903"/>
      <c r="D98" s="834" t="s">
        <v>1466</v>
      </c>
      <c r="E98" s="20"/>
      <c r="F98" s="20"/>
      <c r="G98" s="20"/>
      <c r="H98" s="836"/>
      <c r="I98" s="20"/>
      <c r="J98" s="20"/>
      <c r="K98" s="624"/>
      <c r="L98" s="267" t="s">
        <v>1086</v>
      </c>
      <c r="M98" s="831"/>
      <c r="N98" s="832"/>
      <c r="O98" s="827"/>
      <c r="P98" s="450"/>
    </row>
    <row r="99" spans="2:16" ht="15.6" hidden="1" outlineLevel="2">
      <c r="B99" s="50"/>
      <c r="C99" s="20"/>
      <c r="D99" s="865" t="s">
        <v>1467</v>
      </c>
      <c r="E99" s="20"/>
      <c r="F99" s="20"/>
      <c r="G99" s="20"/>
      <c r="H99" s="20"/>
      <c r="I99" s="20"/>
      <c r="J99" s="20"/>
      <c r="K99" s="434"/>
      <c r="L99" s="830" t="s">
        <v>1102</v>
      </c>
      <c r="M99" s="831"/>
      <c r="N99" s="832"/>
      <c r="O99" s="904"/>
      <c r="P99" s="450"/>
    </row>
    <row r="100" spans="2:16" ht="16.8" hidden="1" outlineLevel="2">
      <c r="B100" s="50"/>
      <c r="C100" s="20"/>
      <c r="D100" s="905" t="s">
        <v>1357</v>
      </c>
      <c r="E100" s="20"/>
      <c r="F100" s="20"/>
      <c r="G100" s="20"/>
      <c r="H100" s="836"/>
      <c r="I100" s="20"/>
      <c r="J100" s="20"/>
      <c r="K100" s="434"/>
      <c r="L100" s="267" t="s">
        <v>1468</v>
      </c>
      <c r="M100" s="831"/>
      <c r="N100" s="832"/>
      <c r="O100" s="904"/>
      <c r="P100" s="450"/>
    </row>
    <row r="101" spans="2:16" hidden="1" outlineLevel="2">
      <c r="B101" s="50"/>
      <c r="C101" s="20"/>
      <c r="D101" s="834" t="s">
        <v>1469</v>
      </c>
      <c r="E101" s="20"/>
      <c r="F101" s="20"/>
      <c r="G101" s="20"/>
      <c r="H101" s="20"/>
      <c r="I101" s="20"/>
      <c r="J101" s="20"/>
      <c r="K101" s="906" t="str">
        <f>IFERROR(771.8448*(K97/K98)^0.83291,"")</f>
        <v/>
      </c>
      <c r="L101" s="830" t="s">
        <v>565</v>
      </c>
      <c r="M101" s="831"/>
      <c r="N101" s="832"/>
      <c r="O101" s="863"/>
      <c r="P101" s="450"/>
    </row>
    <row r="102" spans="2:16" hidden="1" outlineLevel="2">
      <c r="B102" s="50"/>
      <c r="C102" s="20"/>
      <c r="D102" s="834"/>
      <c r="E102" s="20"/>
      <c r="F102" s="20"/>
      <c r="G102" s="20"/>
      <c r="H102" s="20"/>
      <c r="I102" s="20"/>
      <c r="J102" s="20"/>
      <c r="K102" s="907"/>
      <c r="L102" s="684"/>
      <c r="M102" s="908"/>
      <c r="N102" s="909"/>
      <c r="O102" s="863"/>
      <c r="P102" s="450"/>
    </row>
    <row r="103" spans="2:16" hidden="1" outlineLevel="2">
      <c r="B103" s="50"/>
      <c r="C103" s="20"/>
      <c r="D103" s="1150" t="s">
        <v>0</v>
      </c>
      <c r="E103" s="20"/>
      <c r="F103" s="20"/>
      <c r="G103" s="234"/>
      <c r="H103" s="234"/>
      <c r="I103" s="234"/>
      <c r="J103" s="234"/>
      <c r="K103" s="234"/>
      <c r="L103" s="20"/>
      <c r="M103" s="20"/>
      <c r="N103" s="910"/>
      <c r="O103" s="863"/>
      <c r="P103" s="450"/>
    </row>
    <row r="104" spans="2:16" hidden="1" outlineLevel="2">
      <c r="B104" s="50"/>
      <c r="C104" s="20"/>
      <c r="D104" s="1069" t="s">
        <v>1173</v>
      </c>
      <c r="E104" s="20"/>
      <c r="F104" s="20"/>
      <c r="G104" s="20"/>
      <c r="H104" s="20"/>
      <c r="I104" s="20"/>
      <c r="J104" s="20"/>
      <c r="K104" s="20"/>
      <c r="L104" s="20"/>
      <c r="M104" s="20"/>
      <c r="N104" s="833"/>
      <c r="O104" s="827"/>
      <c r="P104" s="450"/>
    </row>
    <row r="105" spans="2:16" ht="15.6" hidden="1" outlineLevel="2">
      <c r="B105" s="50"/>
      <c r="C105" s="20"/>
      <c r="D105" s="827"/>
      <c r="E105" s="841" t="s">
        <v>931</v>
      </c>
      <c r="F105" s="842" t="s">
        <v>1450</v>
      </c>
      <c r="G105" s="842" t="s">
        <v>1451</v>
      </c>
      <c r="H105" s="842" t="s">
        <v>1452</v>
      </c>
      <c r="I105" s="842" t="s">
        <v>1453</v>
      </c>
      <c r="J105" s="845" t="s">
        <v>1456</v>
      </c>
      <c r="K105" s="911" t="s">
        <v>1470</v>
      </c>
      <c r="L105" s="845" t="s">
        <v>1454</v>
      </c>
      <c r="M105" s="844" t="s">
        <v>1471</v>
      </c>
      <c r="N105" s="833"/>
      <c r="O105" s="827"/>
      <c r="P105" s="450"/>
    </row>
    <row r="106" spans="2:16" hidden="1" outlineLevel="2">
      <c r="B106" s="50"/>
      <c r="C106" s="20"/>
      <c r="D106" s="827"/>
      <c r="E106" s="847">
        <v>1</v>
      </c>
      <c r="F106" s="848"/>
      <c r="G106" s="849"/>
      <c r="H106" s="849"/>
      <c r="I106" s="850"/>
      <c r="J106" s="320"/>
      <c r="K106" s="851">
        <f>F106*G106*H106*I106*J106</f>
        <v>0</v>
      </c>
      <c r="L106" s="320"/>
      <c r="M106" s="851">
        <f>F106*G106*H106*I106*L106</f>
        <v>0</v>
      </c>
      <c r="N106" s="833"/>
      <c r="O106" s="827"/>
      <c r="P106" s="450"/>
    </row>
    <row r="107" spans="2:16" hidden="1" outlineLevel="2">
      <c r="B107" s="50"/>
      <c r="C107" s="20"/>
      <c r="D107" s="827"/>
      <c r="E107" s="847">
        <v>2</v>
      </c>
      <c r="F107" s="848"/>
      <c r="G107" s="849"/>
      <c r="H107" s="849"/>
      <c r="I107" s="850"/>
      <c r="J107" s="320"/>
      <c r="K107" s="851">
        <f>F107*G107*H107*I107*J107</f>
        <v>0</v>
      </c>
      <c r="L107" s="320"/>
      <c r="M107" s="851">
        <f t="shared" ref="M107:M111" si="4">F107*G107*H107*I107*L107</f>
        <v>0</v>
      </c>
      <c r="N107" s="833"/>
      <c r="O107" s="827"/>
      <c r="P107" s="450"/>
    </row>
    <row r="108" spans="2:16" hidden="1" outlineLevel="2">
      <c r="B108" s="50"/>
      <c r="C108" s="20"/>
      <c r="D108" s="827"/>
      <c r="E108" s="847">
        <v>3</v>
      </c>
      <c r="F108" s="848"/>
      <c r="G108" s="849"/>
      <c r="H108" s="849"/>
      <c r="I108" s="850"/>
      <c r="J108" s="320"/>
      <c r="K108" s="851">
        <f t="shared" ref="K108:K111" si="5">F108*G108*H108*I108*J108</f>
        <v>0</v>
      </c>
      <c r="L108" s="320"/>
      <c r="M108" s="851">
        <f t="shared" si="4"/>
        <v>0</v>
      </c>
      <c r="N108" s="833"/>
      <c r="O108" s="827"/>
      <c r="P108" s="450"/>
    </row>
    <row r="109" spans="2:16" hidden="1" outlineLevel="2">
      <c r="B109" s="50"/>
      <c r="C109" s="20"/>
      <c r="D109" s="827"/>
      <c r="E109" s="847">
        <v>4</v>
      </c>
      <c r="F109" s="848"/>
      <c r="G109" s="849"/>
      <c r="H109" s="849"/>
      <c r="I109" s="850"/>
      <c r="J109" s="320"/>
      <c r="K109" s="851">
        <f t="shared" si="5"/>
        <v>0</v>
      </c>
      <c r="L109" s="320"/>
      <c r="M109" s="851">
        <f t="shared" si="4"/>
        <v>0</v>
      </c>
      <c r="N109" s="833"/>
      <c r="O109" s="827"/>
      <c r="P109" s="450"/>
    </row>
    <row r="110" spans="2:16" hidden="1" outlineLevel="2">
      <c r="B110" s="50"/>
      <c r="C110" s="20"/>
      <c r="D110" s="827"/>
      <c r="E110" s="847">
        <v>5</v>
      </c>
      <c r="F110" s="848"/>
      <c r="G110" s="849"/>
      <c r="H110" s="849"/>
      <c r="I110" s="850"/>
      <c r="J110" s="320"/>
      <c r="K110" s="851">
        <f t="shared" si="5"/>
        <v>0</v>
      </c>
      <c r="L110" s="320"/>
      <c r="M110" s="851">
        <f t="shared" si="4"/>
        <v>0</v>
      </c>
      <c r="N110" s="833"/>
      <c r="O110" s="840"/>
      <c r="P110" s="854"/>
    </row>
    <row r="111" spans="2:16" hidden="1" outlineLevel="2">
      <c r="B111" s="50"/>
      <c r="C111" s="20"/>
      <c r="D111" s="827"/>
      <c r="E111" s="847">
        <v>6</v>
      </c>
      <c r="F111" s="848"/>
      <c r="G111" s="849"/>
      <c r="H111" s="849"/>
      <c r="I111" s="850"/>
      <c r="J111" s="320"/>
      <c r="K111" s="851">
        <f t="shared" si="5"/>
        <v>0</v>
      </c>
      <c r="L111" s="320"/>
      <c r="M111" s="851">
        <f t="shared" si="4"/>
        <v>0</v>
      </c>
      <c r="N111" s="833"/>
      <c r="O111" s="827"/>
      <c r="P111" s="450"/>
    </row>
    <row r="112" spans="2:16" s="9" customFormat="1" hidden="1" outlineLevel="2">
      <c r="B112" s="642"/>
      <c r="C112" s="451"/>
      <c r="D112" s="675"/>
      <c r="E112" s="695"/>
      <c r="F112" s="451"/>
      <c r="G112" s="451"/>
      <c r="H112" s="451"/>
      <c r="I112" s="451"/>
      <c r="J112" s="451"/>
      <c r="K112" s="912"/>
      <c r="L112" s="913"/>
      <c r="M112" s="914"/>
      <c r="N112" s="860"/>
      <c r="O112" s="675"/>
      <c r="P112" s="17"/>
    </row>
    <row r="113" spans="1:19" ht="15.6" hidden="1" outlineLevel="2">
      <c r="A113" s="20"/>
      <c r="B113" s="50"/>
      <c r="C113" s="20"/>
      <c r="D113" s="827" t="s">
        <v>1472</v>
      </c>
      <c r="E113" s="876"/>
      <c r="F113" s="876"/>
      <c r="G113" s="876"/>
      <c r="H113" s="877"/>
      <c r="I113" s="20"/>
      <c r="J113" s="915"/>
      <c r="K113" s="916" t="str">
        <f>IFERROR(SUM($K$106:$K$111)/SUM($F$106:$F$111),"")</f>
        <v/>
      </c>
      <c r="L113" s="830" t="s">
        <v>1167</v>
      </c>
      <c r="M113" s="1985"/>
      <c r="N113" s="2065"/>
      <c r="O113" s="827"/>
      <c r="P113" s="450"/>
      <c r="R113" s="20"/>
      <c r="S113" s="20"/>
    </row>
    <row r="114" spans="1:19" ht="30.75" hidden="1" customHeight="1" outlineLevel="2">
      <c r="A114" s="20"/>
      <c r="B114" s="50"/>
      <c r="C114" s="20"/>
      <c r="D114" s="2085" t="s">
        <v>1473</v>
      </c>
      <c r="E114" s="2086"/>
      <c r="F114" s="2086"/>
      <c r="G114" s="2086"/>
      <c r="H114" s="2086"/>
      <c r="I114" s="2086"/>
      <c r="J114" s="2086"/>
      <c r="K114" s="916" t="str">
        <f>IFERROR(SUM($M$106:$M$111)/SUM($F$106:$F$111),"")</f>
        <v/>
      </c>
      <c r="L114" s="830" t="s">
        <v>1167</v>
      </c>
      <c r="M114" s="1985"/>
      <c r="N114" s="2065"/>
      <c r="O114" s="827"/>
      <c r="P114" s="450"/>
      <c r="R114" s="20"/>
      <c r="S114" s="20"/>
    </row>
    <row r="115" spans="1:19" ht="16.8" hidden="1" outlineLevel="2">
      <c r="B115" s="50"/>
      <c r="C115" s="20"/>
      <c r="D115" s="905" t="s">
        <v>1474</v>
      </c>
      <c r="E115" s="20"/>
      <c r="F115" s="20"/>
      <c r="G115" s="20"/>
      <c r="H115" s="836"/>
      <c r="I115" s="20"/>
      <c r="J115" s="20"/>
      <c r="K115" s="917"/>
      <c r="L115" s="867" t="s">
        <v>1324</v>
      </c>
      <c r="M115" s="918"/>
      <c r="N115" s="919"/>
      <c r="O115" s="827"/>
      <c r="P115" s="450"/>
    </row>
    <row r="116" spans="1:19" ht="15.6" hidden="1" outlineLevel="2">
      <c r="B116" s="50"/>
      <c r="C116" s="20"/>
      <c r="D116" s="905" t="s">
        <v>1475</v>
      </c>
      <c r="E116" s="144"/>
      <c r="F116" s="144"/>
      <c r="G116" s="20"/>
      <c r="H116" s="20"/>
      <c r="I116" s="20"/>
      <c r="J116" s="20"/>
      <c r="K116" s="920"/>
      <c r="L116" s="267" t="s">
        <v>13</v>
      </c>
      <c r="M116" s="921"/>
      <c r="N116" s="922"/>
      <c r="O116" s="827"/>
      <c r="P116" s="450"/>
    </row>
    <row r="117" spans="1:19" s="9" customFormat="1" hidden="1" outlineLevel="2">
      <c r="B117" s="642"/>
      <c r="C117" s="451"/>
      <c r="D117" s="923"/>
      <c r="E117" s="924"/>
      <c r="F117" s="924"/>
      <c r="G117" s="451"/>
      <c r="H117" s="451"/>
      <c r="I117" s="451"/>
      <c r="J117" s="451"/>
      <c r="K117" s="907"/>
      <c r="L117" s="331"/>
      <c r="M117" s="451"/>
      <c r="N117" s="860"/>
      <c r="O117" s="675"/>
      <c r="P117" s="17"/>
    </row>
    <row r="118" spans="1:19" hidden="1" outlineLevel="2">
      <c r="B118" s="50"/>
      <c r="C118" s="20"/>
      <c r="D118" s="1150" t="s">
        <v>1</v>
      </c>
      <c r="E118" s="20"/>
      <c r="F118" s="20"/>
      <c r="G118" s="20"/>
      <c r="H118" s="20"/>
      <c r="I118" s="20"/>
      <c r="J118" s="20"/>
      <c r="K118" s="20"/>
      <c r="L118" s="20"/>
      <c r="M118" s="20"/>
      <c r="N118" s="833"/>
      <c r="O118" s="827"/>
      <c r="P118" s="450"/>
    </row>
    <row r="119" spans="1:19" hidden="1" outlineLevel="2">
      <c r="B119" s="50"/>
      <c r="C119" s="20"/>
      <c r="D119" s="1069" t="s">
        <v>1173</v>
      </c>
      <c r="E119" s="20"/>
      <c r="F119" s="20"/>
      <c r="G119" s="20"/>
      <c r="H119" s="20"/>
      <c r="I119" s="20"/>
      <c r="J119" s="20"/>
      <c r="K119" s="20"/>
      <c r="L119" s="20"/>
      <c r="M119" s="20"/>
      <c r="N119" s="833"/>
      <c r="O119" s="827"/>
      <c r="P119" s="450"/>
    </row>
    <row r="120" spans="1:19" ht="15.6" hidden="1" outlineLevel="2">
      <c r="A120" s="20"/>
      <c r="B120" s="50"/>
      <c r="C120" s="20"/>
      <c r="D120" s="827"/>
      <c r="E120" s="841" t="s">
        <v>931</v>
      </c>
      <c r="F120" s="842" t="s">
        <v>1450</v>
      </c>
      <c r="G120" s="842" t="s">
        <v>1451</v>
      </c>
      <c r="H120" s="842" t="s">
        <v>1452</v>
      </c>
      <c r="I120" s="842" t="s">
        <v>1453</v>
      </c>
      <c r="J120" s="845" t="s">
        <v>1476</v>
      </c>
      <c r="K120" s="844" t="s">
        <v>1477</v>
      </c>
      <c r="L120" s="845" t="s">
        <v>1454</v>
      </c>
      <c r="M120" s="844" t="s">
        <v>1471</v>
      </c>
      <c r="N120" s="833"/>
      <c r="O120" s="827"/>
      <c r="P120" s="450"/>
    </row>
    <row r="121" spans="1:19" hidden="1" outlineLevel="2">
      <c r="B121" s="50"/>
      <c r="C121" s="20"/>
      <c r="D121" s="827"/>
      <c r="E121" s="847">
        <v>1</v>
      </c>
      <c r="F121" s="848"/>
      <c r="G121" s="849"/>
      <c r="H121" s="849"/>
      <c r="I121" s="850"/>
      <c r="J121" s="320"/>
      <c r="K121" s="851">
        <f>F121*G121*H121*I121*J121</f>
        <v>0</v>
      </c>
      <c r="L121" s="320"/>
      <c r="M121" s="851">
        <f>F121*G121*H121*I121*L121</f>
        <v>0</v>
      </c>
      <c r="N121" s="833"/>
      <c r="O121" s="827"/>
      <c r="P121" s="450"/>
    </row>
    <row r="122" spans="1:19" hidden="1" outlineLevel="2">
      <c r="B122" s="50"/>
      <c r="C122" s="20"/>
      <c r="D122" s="827"/>
      <c r="E122" s="847">
        <v>2</v>
      </c>
      <c r="F122" s="848"/>
      <c r="G122" s="849"/>
      <c r="H122" s="849"/>
      <c r="I122" s="850"/>
      <c r="J122" s="320"/>
      <c r="K122" s="851">
        <f t="shared" ref="K122:K125" si="6">F122*G122*H122*I122*J122</f>
        <v>0</v>
      </c>
      <c r="L122" s="320"/>
      <c r="M122" s="851">
        <f t="shared" ref="M122:M126" si="7">F122*G122*H122*I122*L122</f>
        <v>0</v>
      </c>
      <c r="N122" s="833"/>
      <c r="O122" s="827"/>
      <c r="P122" s="450"/>
    </row>
    <row r="123" spans="1:19" hidden="1" outlineLevel="2">
      <c r="B123" s="50"/>
      <c r="C123" s="20"/>
      <c r="D123" s="827"/>
      <c r="E123" s="847">
        <v>3</v>
      </c>
      <c r="F123" s="848"/>
      <c r="G123" s="849"/>
      <c r="H123" s="849"/>
      <c r="I123" s="850"/>
      <c r="J123" s="320"/>
      <c r="K123" s="851">
        <f t="shared" si="6"/>
        <v>0</v>
      </c>
      <c r="L123" s="320"/>
      <c r="M123" s="851">
        <f t="shared" si="7"/>
        <v>0</v>
      </c>
      <c r="N123" s="833"/>
      <c r="O123" s="827"/>
      <c r="P123" s="450"/>
    </row>
    <row r="124" spans="1:19" hidden="1" outlineLevel="2">
      <c r="B124" s="50"/>
      <c r="C124" s="20"/>
      <c r="D124" s="827"/>
      <c r="E124" s="847">
        <v>4</v>
      </c>
      <c r="F124" s="848"/>
      <c r="G124" s="849"/>
      <c r="H124" s="849"/>
      <c r="I124" s="850"/>
      <c r="J124" s="320"/>
      <c r="K124" s="851">
        <f t="shared" si="6"/>
        <v>0</v>
      </c>
      <c r="L124" s="320"/>
      <c r="M124" s="851">
        <f t="shared" si="7"/>
        <v>0</v>
      </c>
      <c r="N124" s="833"/>
      <c r="O124" s="827"/>
      <c r="P124" s="450"/>
    </row>
    <row r="125" spans="1:19" hidden="1" outlineLevel="2">
      <c r="B125" s="50"/>
      <c r="C125" s="20"/>
      <c r="D125" s="827"/>
      <c r="E125" s="847">
        <v>5</v>
      </c>
      <c r="F125" s="848"/>
      <c r="G125" s="849"/>
      <c r="H125" s="849"/>
      <c r="I125" s="850"/>
      <c r="J125" s="320"/>
      <c r="K125" s="851">
        <f t="shared" si="6"/>
        <v>0</v>
      </c>
      <c r="L125" s="320"/>
      <c r="M125" s="851">
        <f t="shared" si="7"/>
        <v>0</v>
      </c>
      <c r="N125" s="833"/>
      <c r="O125" s="827"/>
      <c r="P125" s="450"/>
    </row>
    <row r="126" spans="1:19" hidden="1" outlineLevel="2">
      <c r="B126" s="50"/>
      <c r="C126" s="20"/>
      <c r="D126" s="827"/>
      <c r="E126" s="847">
        <v>6</v>
      </c>
      <c r="F126" s="848"/>
      <c r="G126" s="849"/>
      <c r="H126" s="849"/>
      <c r="I126" s="850"/>
      <c r="J126" s="320"/>
      <c r="K126" s="409"/>
      <c r="L126" s="320"/>
      <c r="M126" s="851">
        <f t="shared" si="7"/>
        <v>0</v>
      </c>
      <c r="N126" s="833"/>
      <c r="O126" s="827"/>
      <c r="P126" s="450"/>
    </row>
    <row r="127" spans="1:19" hidden="1" outlineLevel="2">
      <c r="B127" s="50"/>
      <c r="C127" s="20"/>
      <c r="D127" s="827"/>
      <c r="E127" s="20"/>
      <c r="F127" s="20"/>
      <c r="G127" s="20"/>
      <c r="H127" s="20"/>
      <c r="I127" s="20"/>
      <c r="J127" s="20"/>
      <c r="K127" s="20"/>
      <c r="L127" s="20"/>
      <c r="M127" s="20"/>
      <c r="N127" s="833"/>
      <c r="O127" s="827"/>
      <c r="P127" s="450"/>
    </row>
    <row r="128" spans="1:19" ht="15" hidden="1" customHeight="1" outlineLevel="2">
      <c r="A128" s="20"/>
      <c r="B128" s="50"/>
      <c r="C128" s="20"/>
      <c r="D128" s="2085" t="s">
        <v>1478</v>
      </c>
      <c r="E128" s="2086"/>
      <c r="F128" s="2086"/>
      <c r="G128" s="2086"/>
      <c r="H128" s="2086"/>
      <c r="I128" s="2086"/>
      <c r="J128" s="2086"/>
      <c r="K128" s="879" t="str">
        <f>IFERROR(SUM($K$121:$K$126)/SUM($F$121:$F$126),"")</f>
        <v/>
      </c>
      <c r="L128" s="838" t="s">
        <v>1167</v>
      </c>
      <c r="M128" s="1985"/>
      <c r="N128" s="2065"/>
      <c r="O128" s="827"/>
      <c r="P128" s="450"/>
      <c r="R128" s="20"/>
      <c r="S128" s="20"/>
    </row>
    <row r="129" spans="1:19" ht="30.75" hidden="1" customHeight="1" outlineLevel="2">
      <c r="A129" s="20"/>
      <c r="B129" s="50"/>
      <c r="C129" s="20"/>
      <c r="D129" s="2085" t="s">
        <v>1473</v>
      </c>
      <c r="E129" s="2086"/>
      <c r="F129" s="2086"/>
      <c r="G129" s="2086"/>
      <c r="H129" s="2086"/>
      <c r="I129" s="2086"/>
      <c r="J129" s="2086"/>
      <c r="K129" s="880" t="str">
        <f>IFERROR(SUM($M$121:$M$126)/SUM($F$121:$F$126),"")</f>
        <v/>
      </c>
      <c r="L129" s="830" t="s">
        <v>1167</v>
      </c>
      <c r="M129" s="1985"/>
      <c r="N129" s="2065"/>
      <c r="O129" s="827"/>
      <c r="P129" s="450"/>
      <c r="R129" s="20"/>
      <c r="S129" s="20"/>
    </row>
    <row r="130" spans="1:19" ht="16.8" hidden="1" outlineLevel="2">
      <c r="B130" s="50"/>
      <c r="C130" s="20"/>
      <c r="D130" s="905" t="s">
        <v>1474</v>
      </c>
      <c r="E130" s="20"/>
      <c r="F130" s="20"/>
      <c r="G130" s="20"/>
      <c r="H130" s="836"/>
      <c r="I130" s="20"/>
      <c r="J130" s="20"/>
      <c r="K130" s="917"/>
      <c r="L130" s="867" t="s">
        <v>1324</v>
      </c>
      <c r="M130" s="918"/>
      <c r="N130" s="919"/>
      <c r="O130" s="827"/>
      <c r="P130" s="450"/>
    </row>
    <row r="131" spans="1:19" ht="15.6" hidden="1" outlineLevel="2">
      <c r="B131" s="50"/>
      <c r="C131" s="20"/>
      <c r="D131" s="905" t="s">
        <v>1475</v>
      </c>
      <c r="E131" s="144"/>
      <c r="F131" s="144"/>
      <c r="G131" s="20"/>
      <c r="H131" s="20"/>
      <c r="I131" s="20"/>
      <c r="J131" s="20"/>
      <c r="K131" s="920"/>
      <c r="L131" s="267" t="s">
        <v>13</v>
      </c>
      <c r="M131" s="921"/>
      <c r="N131" s="922"/>
      <c r="O131" s="827"/>
      <c r="P131" s="450"/>
    </row>
    <row r="132" spans="1:19" hidden="1" outlineLevel="2">
      <c r="B132" s="50"/>
      <c r="C132" s="20"/>
      <c r="D132" s="905"/>
      <c r="E132" s="144"/>
      <c r="F132" s="144"/>
      <c r="G132" s="20"/>
      <c r="H132" s="20"/>
      <c r="I132" s="20"/>
      <c r="J132" s="20"/>
      <c r="K132" s="925"/>
      <c r="L132" s="112"/>
      <c r="M132" s="20"/>
      <c r="N132" s="833"/>
      <c r="O132" s="827"/>
      <c r="P132" s="450"/>
    </row>
    <row r="133" spans="1:19" hidden="1" outlineLevel="2">
      <c r="B133" s="50"/>
      <c r="C133" s="20"/>
      <c r="D133" s="1150" t="s">
        <v>2</v>
      </c>
      <c r="E133" s="20"/>
      <c r="F133" s="20"/>
      <c r="G133" s="20"/>
      <c r="H133" s="20"/>
      <c r="I133" s="20"/>
      <c r="J133" s="20"/>
      <c r="K133" s="20"/>
      <c r="L133" s="20"/>
      <c r="M133" s="20"/>
      <c r="N133" s="833"/>
      <c r="O133" s="827"/>
      <c r="P133" s="450"/>
    </row>
    <row r="134" spans="1:19" hidden="1" outlineLevel="2">
      <c r="B134" s="50"/>
      <c r="C134" s="20"/>
      <c r="D134" s="1069" t="s">
        <v>1173</v>
      </c>
      <c r="E134" s="20"/>
      <c r="F134" s="20"/>
      <c r="G134" s="20"/>
      <c r="H134" s="20"/>
      <c r="I134" s="20"/>
      <c r="J134" s="20"/>
      <c r="K134" s="20"/>
      <c r="L134" s="20"/>
      <c r="M134" s="20"/>
      <c r="N134" s="833"/>
      <c r="O134" s="827"/>
      <c r="P134" s="450"/>
    </row>
    <row r="135" spans="1:19" ht="15.6" hidden="1" outlineLevel="2">
      <c r="B135" s="50"/>
      <c r="C135" s="20"/>
      <c r="D135" s="827"/>
      <c r="E135" s="841" t="s">
        <v>931</v>
      </c>
      <c r="F135" s="842" t="s">
        <v>1450</v>
      </c>
      <c r="G135" s="842" t="s">
        <v>1451</v>
      </c>
      <c r="H135" s="842" t="s">
        <v>1452</v>
      </c>
      <c r="I135" s="842" t="s">
        <v>1453</v>
      </c>
      <c r="J135" s="842" t="s">
        <v>939</v>
      </c>
      <c r="K135" s="844" t="s">
        <v>1479</v>
      </c>
      <c r="L135" s="842" t="s">
        <v>1168</v>
      </c>
      <c r="M135" s="844" t="s">
        <v>1480</v>
      </c>
      <c r="N135" s="833"/>
      <c r="O135" s="827"/>
      <c r="P135" s="450"/>
    </row>
    <row r="136" spans="1:19" hidden="1" outlineLevel="2">
      <c r="B136" s="50"/>
      <c r="C136" s="20"/>
      <c r="D136" s="827"/>
      <c r="E136" s="847">
        <v>1</v>
      </c>
      <c r="F136" s="848"/>
      <c r="G136" s="849"/>
      <c r="H136" s="849"/>
      <c r="I136" s="850"/>
      <c r="J136" s="320"/>
      <c r="K136" s="851">
        <f>F136*G136*H136*I136*J136</f>
        <v>0</v>
      </c>
      <c r="L136" s="320"/>
      <c r="M136" s="851">
        <f>F136*G136*H136*I136*L136</f>
        <v>0</v>
      </c>
      <c r="N136" s="833"/>
      <c r="O136" s="827"/>
      <c r="P136" s="450"/>
    </row>
    <row r="137" spans="1:19" hidden="1" outlineLevel="2">
      <c r="B137" s="50"/>
      <c r="C137" s="20"/>
      <c r="D137" s="827"/>
      <c r="E137" s="847">
        <v>2</v>
      </c>
      <c r="F137" s="848"/>
      <c r="G137" s="849"/>
      <c r="H137" s="849"/>
      <c r="I137" s="850"/>
      <c r="J137" s="320"/>
      <c r="K137" s="851">
        <f>F137*G137*H137*I137*J137</f>
        <v>0</v>
      </c>
      <c r="L137" s="320"/>
      <c r="M137" s="851">
        <f t="shared" ref="M137:M140" si="8">F137*G137*H137*I137*L137</f>
        <v>0</v>
      </c>
      <c r="N137" s="833"/>
      <c r="O137" s="827"/>
      <c r="P137" s="450"/>
    </row>
    <row r="138" spans="1:19" hidden="1" outlineLevel="2">
      <c r="B138" s="50"/>
      <c r="C138" s="20"/>
      <c r="D138" s="827"/>
      <c r="E138" s="847">
        <v>3</v>
      </c>
      <c r="F138" s="848"/>
      <c r="G138" s="849"/>
      <c r="H138" s="849"/>
      <c r="I138" s="850"/>
      <c r="J138" s="320"/>
      <c r="K138" s="851">
        <f t="shared" ref="K138:K140" si="9">F138*G138*H138*I138*J138</f>
        <v>0</v>
      </c>
      <c r="L138" s="320"/>
      <c r="M138" s="851">
        <f t="shared" si="8"/>
        <v>0</v>
      </c>
      <c r="N138" s="833"/>
      <c r="O138" s="827"/>
      <c r="P138" s="450"/>
    </row>
    <row r="139" spans="1:19" hidden="1" outlineLevel="2">
      <c r="B139" s="50"/>
      <c r="C139" s="20"/>
      <c r="D139" s="827"/>
      <c r="E139" s="847">
        <v>4</v>
      </c>
      <c r="F139" s="848"/>
      <c r="G139" s="849"/>
      <c r="H139" s="849"/>
      <c r="I139" s="850"/>
      <c r="J139" s="320"/>
      <c r="K139" s="851">
        <f t="shared" si="9"/>
        <v>0</v>
      </c>
      <c r="L139" s="320"/>
      <c r="M139" s="851">
        <f t="shared" si="8"/>
        <v>0</v>
      </c>
      <c r="N139" s="833"/>
      <c r="O139" s="827"/>
      <c r="P139" s="450"/>
    </row>
    <row r="140" spans="1:19" hidden="1" outlineLevel="2">
      <c r="B140" s="50"/>
      <c r="C140" s="20"/>
      <c r="D140" s="827"/>
      <c r="E140" s="847">
        <v>5</v>
      </c>
      <c r="F140" s="848"/>
      <c r="G140" s="849"/>
      <c r="H140" s="849"/>
      <c r="I140" s="850"/>
      <c r="J140" s="320"/>
      <c r="K140" s="851">
        <f t="shared" si="9"/>
        <v>0</v>
      </c>
      <c r="L140" s="320"/>
      <c r="M140" s="851">
        <f t="shared" si="8"/>
        <v>0</v>
      </c>
      <c r="N140" s="833"/>
      <c r="O140" s="827"/>
      <c r="P140" s="450"/>
    </row>
    <row r="141" spans="1:19" hidden="1" outlineLevel="2">
      <c r="B141" s="50"/>
      <c r="C141" s="20"/>
      <c r="D141" s="827"/>
      <c r="E141" s="847">
        <v>6</v>
      </c>
      <c r="F141" s="848"/>
      <c r="G141" s="849"/>
      <c r="H141" s="849"/>
      <c r="I141" s="850"/>
      <c r="J141" s="320"/>
      <c r="K141" s="409"/>
      <c r="L141" s="320"/>
      <c r="M141" s="409"/>
      <c r="N141" s="833"/>
      <c r="O141" s="827"/>
      <c r="P141" s="450"/>
    </row>
    <row r="142" spans="1:19" hidden="1" outlineLevel="2">
      <c r="B142" s="50"/>
      <c r="C142" s="20"/>
      <c r="D142" s="827"/>
      <c r="E142" s="20"/>
      <c r="F142" s="20"/>
      <c r="G142" s="20"/>
      <c r="H142" s="20"/>
      <c r="I142" s="20"/>
      <c r="J142" s="20"/>
      <c r="K142" s="20"/>
      <c r="L142" s="20"/>
      <c r="M142" s="20"/>
      <c r="N142" s="833"/>
      <c r="O142" s="20"/>
      <c r="P142" s="450"/>
    </row>
    <row r="143" spans="1:19" s="855" customFormat="1" ht="15.6" hidden="1" outlineLevel="2">
      <c r="A143" s="748"/>
      <c r="B143" s="926"/>
      <c r="C143" s="748"/>
      <c r="D143" s="863" t="s">
        <v>1481</v>
      </c>
      <c r="E143" s="748"/>
      <c r="F143" s="748"/>
      <c r="G143" s="748"/>
      <c r="H143" s="748"/>
      <c r="I143" s="748"/>
      <c r="J143" s="748"/>
      <c r="K143" s="879" t="str">
        <f>IFERROR(SUM(K136:K141)/SUM(F136:F141),"")</f>
        <v/>
      </c>
      <c r="L143" s="838" t="s">
        <v>1167</v>
      </c>
      <c r="M143" s="748"/>
      <c r="N143" s="910"/>
      <c r="O143" s="748"/>
      <c r="P143" s="750"/>
      <c r="R143" s="748"/>
      <c r="S143" s="748"/>
    </row>
    <row r="144" spans="1:19" ht="30.75" hidden="1" customHeight="1" outlineLevel="2">
      <c r="A144" s="20"/>
      <c r="B144" s="50"/>
      <c r="C144" s="20"/>
      <c r="D144" s="2085" t="s">
        <v>1482</v>
      </c>
      <c r="E144" s="2086"/>
      <c r="F144" s="2086"/>
      <c r="G144" s="2086"/>
      <c r="H144" s="2086"/>
      <c r="I144" s="2086"/>
      <c r="J144" s="2086"/>
      <c r="K144" s="880" t="str">
        <f>IFERROR(SUM(M136:M141)/SUM(F136:F141),"")</f>
        <v/>
      </c>
      <c r="L144" s="830" t="s">
        <v>1167</v>
      </c>
      <c r="M144" s="1985"/>
      <c r="N144" s="2065"/>
      <c r="O144" s="20"/>
      <c r="P144" s="450"/>
      <c r="R144" s="20"/>
      <c r="S144" s="20"/>
    </row>
    <row r="145" spans="1:16" ht="16.8" hidden="1" outlineLevel="2">
      <c r="B145" s="50"/>
      <c r="C145" s="20"/>
      <c r="D145" s="905" t="s">
        <v>1474</v>
      </c>
      <c r="E145" s="20"/>
      <c r="F145" s="20"/>
      <c r="G145" s="20"/>
      <c r="H145" s="836"/>
      <c r="I145" s="20"/>
      <c r="J145" s="20"/>
      <c r="K145" s="917"/>
      <c r="L145" s="867" t="s">
        <v>1324</v>
      </c>
      <c r="M145" s="918"/>
      <c r="N145" s="919"/>
      <c r="O145" s="20"/>
      <c r="P145" s="450"/>
    </row>
    <row r="146" spans="1:16" ht="15.6" hidden="1" outlineLevel="2">
      <c r="B146" s="50"/>
      <c r="C146" s="20"/>
      <c r="D146" s="905" t="s">
        <v>1475</v>
      </c>
      <c r="E146" s="144"/>
      <c r="F146" s="144"/>
      <c r="G146" s="20"/>
      <c r="H146" s="20"/>
      <c r="I146" s="20"/>
      <c r="J146" s="20"/>
      <c r="K146" s="920"/>
      <c r="L146" s="927" t="s">
        <v>13</v>
      </c>
      <c r="M146" s="928"/>
      <c r="N146" s="929"/>
      <c r="O146" s="20"/>
      <c r="P146" s="450"/>
    </row>
    <row r="147" spans="1:16" ht="15.6" hidden="1" outlineLevel="1" collapsed="1">
      <c r="B147" s="896"/>
      <c r="C147" s="897"/>
      <c r="D147" s="897"/>
      <c r="E147" s="897"/>
      <c r="F147" s="897"/>
      <c r="G147" s="897"/>
      <c r="H147" s="897"/>
      <c r="I147" s="897"/>
      <c r="J147" s="897"/>
      <c r="K147" s="897"/>
      <c r="L147" s="930"/>
      <c r="M147" s="930"/>
      <c r="N147" s="897"/>
      <c r="O147" s="897"/>
      <c r="P147" s="898"/>
    </row>
    <row r="148" spans="1:16" ht="15.6" hidden="1" outlineLevel="1">
      <c r="A148" s="450"/>
      <c r="B148" s="2076" t="s">
        <v>1062</v>
      </c>
      <c r="C148" s="2077"/>
      <c r="D148" s="2077"/>
      <c r="E148" s="2077"/>
      <c r="F148" s="2077"/>
      <c r="G148" s="2077"/>
      <c r="H148" s="2077"/>
      <c r="I148" s="2077"/>
      <c r="J148" s="2077"/>
      <c r="K148" s="2077"/>
      <c r="L148" s="2077"/>
      <c r="M148" s="2077"/>
      <c r="N148" s="2077"/>
      <c r="O148" s="2077"/>
      <c r="P148" s="2078"/>
    </row>
    <row r="149" spans="1:16" hidden="1" outlineLevel="1">
      <c r="A149" s="450"/>
      <c r="B149" s="896"/>
      <c r="C149" s="897"/>
      <c r="D149" s="897"/>
      <c r="E149" s="897"/>
      <c r="F149" s="897"/>
      <c r="G149" s="859"/>
      <c r="H149" s="897"/>
      <c r="I149" s="897"/>
      <c r="J149" s="897"/>
      <c r="K149" s="897"/>
      <c r="L149" s="897"/>
      <c r="M149" s="897"/>
      <c r="N149" s="897"/>
      <c r="O149" s="897"/>
      <c r="P149" s="898"/>
    </row>
    <row r="150" spans="1:16" ht="16.2" hidden="1" outlineLevel="1" thickBot="1">
      <c r="A150" s="20"/>
      <c r="B150" s="50"/>
      <c r="C150" s="901" t="s">
        <v>0</v>
      </c>
      <c r="D150" s="901"/>
      <c r="E150" s="901"/>
      <c r="F150" s="20"/>
      <c r="G150" s="901"/>
      <c r="H150" s="901" t="s">
        <v>1</v>
      </c>
      <c r="I150" s="20"/>
      <c r="J150" s="901"/>
      <c r="K150" s="901"/>
      <c r="L150" s="20"/>
      <c r="M150" s="901" t="s">
        <v>2</v>
      </c>
      <c r="N150" s="901"/>
      <c r="O150" s="901"/>
      <c r="P150" s="450"/>
    </row>
    <row r="151" spans="1:16" ht="15.6" hidden="1" outlineLevel="1">
      <c r="A151" s="810"/>
      <c r="B151" s="50"/>
      <c r="C151" s="1095" t="s">
        <v>1101</v>
      </c>
      <c r="D151" s="2079" t="str">
        <f>IFERROR(((LN(((K101/100)*(K113-K114)*31.7098*(SUM(F106:F111))/K99))-1.57)/0.1),"")</f>
        <v/>
      </c>
      <c r="E151" s="2079"/>
      <c r="F151" s="1153" t="s">
        <v>1137</v>
      </c>
      <c r="G151" s="901"/>
      <c r="H151" s="1241" t="s">
        <v>1101</v>
      </c>
      <c r="I151" s="2081" t="str">
        <f>IFERROR(((LN(((K101/100)*(K128-K129)*31.7098*(SUM(F121:F126))/K99))-1.57)/0.1),"")</f>
        <v/>
      </c>
      <c r="J151" s="2081"/>
      <c r="K151" s="1243" t="s">
        <v>1137</v>
      </c>
      <c r="L151" s="20"/>
      <c r="M151" s="931" t="s">
        <v>1101</v>
      </c>
      <c r="N151" s="932" t="str">
        <f>IFERROR((((LN(((K101/100)*(K143-K144)*31.7098*(SUM(F136:F141))/K99))-1.57)/0.1)*-1),"")</f>
        <v/>
      </c>
      <c r="O151" s="933" t="s">
        <v>1137</v>
      </c>
      <c r="P151" s="450"/>
    </row>
    <row r="152" spans="1:16" ht="16.2" hidden="1" outlineLevel="1" thickBot="1">
      <c r="A152" s="810"/>
      <c r="B152" s="50"/>
      <c r="C152" s="1097" t="s">
        <v>492</v>
      </c>
      <c r="D152" s="2080">
        <f>K100*K115+K116</f>
        <v>0</v>
      </c>
      <c r="E152" s="2080"/>
      <c r="F152" s="1287" t="s">
        <v>13</v>
      </c>
      <c r="G152" s="901"/>
      <c r="H152" s="1237" t="s">
        <v>492</v>
      </c>
      <c r="I152" s="2082">
        <f>K100*K130+K131</f>
        <v>0</v>
      </c>
      <c r="J152" s="2082"/>
      <c r="K152" s="1239" t="s">
        <v>13</v>
      </c>
      <c r="L152" s="20"/>
      <c r="M152" s="181" t="s">
        <v>492</v>
      </c>
      <c r="N152" s="934">
        <f>K100*K145+K146</f>
        <v>0</v>
      </c>
      <c r="O152" s="935" t="s">
        <v>13</v>
      </c>
      <c r="P152" s="450"/>
    </row>
    <row r="153" spans="1:16" collapsed="1">
      <c r="A153" s="20"/>
      <c r="B153" s="50"/>
      <c r="C153" s="20"/>
      <c r="D153" s="20"/>
      <c r="E153" s="20"/>
      <c r="F153" s="20"/>
      <c r="G153" s="20"/>
      <c r="H153" s="20"/>
      <c r="I153" s="20"/>
      <c r="J153" s="20"/>
      <c r="K153" s="20"/>
      <c r="L153" s="20"/>
      <c r="M153" s="20"/>
      <c r="N153" s="20"/>
      <c r="O153" s="20"/>
      <c r="P153" s="450"/>
    </row>
    <row r="154" spans="1:16" ht="15" thickBot="1">
      <c r="B154" s="33"/>
      <c r="C154" s="34"/>
      <c r="D154" s="34"/>
      <c r="E154" s="34"/>
      <c r="F154" s="34"/>
      <c r="G154" s="34"/>
      <c r="H154" s="34"/>
      <c r="I154" s="34"/>
      <c r="J154" s="34"/>
      <c r="K154" s="34"/>
      <c r="L154" s="34"/>
      <c r="M154" s="34"/>
      <c r="N154" s="34"/>
      <c r="O154" s="34"/>
      <c r="P154" s="936"/>
    </row>
    <row r="155" spans="1:16" ht="15" thickTop="1"/>
  </sheetData>
  <mergeCells count="35">
    <mergeCell ref="M129:N129"/>
    <mergeCell ref="M144:N144"/>
    <mergeCell ref="B90:P90"/>
    <mergeCell ref="E82:F82"/>
    <mergeCell ref="K82:L82"/>
    <mergeCell ref="D94:J94"/>
    <mergeCell ref="M113:N113"/>
    <mergeCell ref="M114:N114"/>
    <mergeCell ref="D114:J114"/>
    <mergeCell ref="M128:N128"/>
    <mergeCell ref="D129:J129"/>
    <mergeCell ref="M93:N93"/>
    <mergeCell ref="D144:J144"/>
    <mergeCell ref="D128:J128"/>
    <mergeCell ref="M92:N92"/>
    <mergeCell ref="B148:P148"/>
    <mergeCell ref="D151:E151"/>
    <mergeCell ref="D152:E152"/>
    <mergeCell ref="I151:J151"/>
    <mergeCell ref="I152:J152"/>
    <mergeCell ref="C73:O73"/>
    <mergeCell ref="C88:O88"/>
    <mergeCell ref="B7:P7"/>
    <mergeCell ref="B17:P17"/>
    <mergeCell ref="M61:N61"/>
    <mergeCell ref="M62:N62"/>
    <mergeCell ref="M40:N40"/>
    <mergeCell ref="D21:J21"/>
    <mergeCell ref="M41:N41"/>
    <mergeCell ref="M20:N20"/>
    <mergeCell ref="C15:O15"/>
    <mergeCell ref="M26:N26"/>
    <mergeCell ref="M27:N27"/>
    <mergeCell ref="E10:O11"/>
    <mergeCell ref="F9:G9"/>
  </mergeCells>
  <hyperlinks>
    <hyperlink ref="D31" location="'Apoio_Regulação da Erosão'!A1" display="Ver Planilha &quot;Apoio_Regulação da Erosão&quot; para fatores default de R, K e CP" xr:uid="{00000000-0004-0000-1100-000000000000}"/>
    <hyperlink ref="D52" location="'Apoio_Regulação da Erosão'!A1" display="Ver Planilha &quot;Apoio_Erosão&quot; para fatores default de R, K e CP" xr:uid="{00000000-0004-0000-1100-000001000000}"/>
    <hyperlink ref="D104" location="'Apoio_Regulação da Erosão'!A1" display="Ver Planilha &quot;Apoio_Erosão&quot; para fatores default de R, K e CP" xr:uid="{00000000-0004-0000-1100-000002000000}"/>
    <hyperlink ref="D134" location="'Apoio_Regulação da Erosão'!A1" display="Ver Planilha &quot;Apoio_Erosão&quot; para fatores default de R, K e CP" xr:uid="{00000000-0004-0000-1100-000003000000}"/>
    <hyperlink ref="D119" location="'Apoio_Regulação da Erosão'!A1" display="Ver Planilha &quot;Apoio_Erosão&quot; para fatores default de R, K e CP" xr:uid="{00000000-0004-0000-1100-000004000000}"/>
    <hyperlink ref="M20:N20" location="'Apoio_Regulação da Erosão'!E3" display="Veja a tabela de LS ou calcule abaixo." xr:uid="{00000000-0004-0000-1100-000005000000}"/>
    <hyperlink ref="M93:N93" location="'Apoio_Regulação da Erosão'!E3" display="Veja a tabela de LS ou calcule abaixo." xr:uid="{00000000-0004-0000-1100-000006000000}"/>
    <hyperlink ref="M26:N26" location="'Apoio_Regulação da Erosão'!F20" display="Veja como converter de unidades" xr:uid="{00000000-0004-0000-1100-000007000000}"/>
    <hyperlink ref="M27:N27" location="'Apoio_Regulação da Erosão'!F20" display="Veja como converter de unidades" xr:uid="{00000000-0004-0000-1100-000008000000}"/>
  </hyperlinks>
  <pageMargins left="0.511811024" right="0.511811024" top="0.78740157499999996" bottom="0.78740157499999996" header="0.31496062000000002" footer="0.31496062000000002"/>
  <pageSetup paperSize="9" orientation="portrait"/>
  <drawing r:id="rId1"/>
  <legacyDrawing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sheetPr>
  <dimension ref="A7:S190"/>
  <sheetViews>
    <sheetView showGridLines="0" zoomScale="90" zoomScaleNormal="90" workbookViewId="0">
      <selection activeCell="G36" sqref="G36"/>
    </sheetView>
  </sheetViews>
  <sheetFormatPr defaultColWidth="8.88671875" defaultRowHeight="14.4"/>
  <cols>
    <col min="1" max="1" width="32.6640625" style="5" customWidth="1"/>
    <col min="2" max="2" width="10.109375" style="5" bestFit="1" customWidth="1"/>
    <col min="3" max="3" width="51.33203125" style="5" customWidth="1"/>
    <col min="4" max="4" width="24.33203125" style="5" customWidth="1"/>
    <col min="5" max="8" width="9" style="5" bestFit="1" customWidth="1"/>
    <col min="9" max="9" width="11.44140625" style="5" customWidth="1"/>
    <col min="10" max="19" width="9" style="5" bestFit="1" customWidth="1"/>
    <col min="20" max="16384" width="8.88671875" style="5"/>
  </cols>
  <sheetData>
    <row r="7" spans="1:19" ht="16.2" thickBot="1">
      <c r="A7" s="1744" t="s">
        <v>1172</v>
      </c>
      <c r="B7" s="1744"/>
      <c r="C7" s="1744"/>
      <c r="D7" s="1744"/>
      <c r="E7" s="1744"/>
      <c r="F7" s="1744"/>
      <c r="G7" s="1744"/>
      <c r="H7" s="1744"/>
      <c r="I7" s="1744"/>
      <c r="J7" s="1744"/>
      <c r="K7" s="1744"/>
      <c r="L7" s="1744"/>
      <c r="M7" s="1744"/>
      <c r="N7" s="1745"/>
    </row>
    <row r="8" spans="1:19" s="9" customFormat="1" ht="15.6">
      <c r="A8" s="1188"/>
      <c r="B8" s="1188"/>
      <c r="C8" s="1188"/>
      <c r="D8" s="1188"/>
      <c r="E8" s="1188"/>
      <c r="F8" s="1188"/>
      <c r="G8" s="1188"/>
      <c r="H8" s="1188"/>
      <c r="I8" s="1188"/>
      <c r="J8" s="1188"/>
      <c r="K8" s="1188"/>
      <c r="L8" s="1188"/>
      <c r="M8" s="1188"/>
      <c r="N8" s="1188"/>
    </row>
    <row r="9" spans="1:19" s="9" customFormat="1" ht="15.6">
      <c r="A9" s="1188"/>
      <c r="B9" s="1188"/>
      <c r="C9" s="1188"/>
      <c r="D9" s="1188"/>
      <c r="E9" s="1188"/>
      <c r="F9" s="1188"/>
      <c r="G9" s="1188"/>
      <c r="H9" s="1188"/>
      <c r="I9" s="1188"/>
      <c r="J9" s="1188"/>
      <c r="K9" s="1188"/>
      <c r="L9" s="1188"/>
      <c r="M9" s="1188"/>
      <c r="N9" s="1188"/>
    </row>
    <row r="10" spans="1:19" s="9" customFormat="1" ht="15.6">
      <c r="A10" s="1188"/>
      <c r="B10" s="1188"/>
      <c r="C10" s="1188"/>
      <c r="D10" s="1188"/>
      <c r="E10" s="1188"/>
      <c r="F10" s="1188"/>
      <c r="G10" s="1188"/>
      <c r="H10" s="1188"/>
      <c r="I10" s="1188"/>
      <c r="J10" s="1188"/>
      <c r="K10" s="1188"/>
      <c r="L10" s="1188"/>
      <c r="M10" s="1188"/>
      <c r="N10" s="1188"/>
    </row>
    <row r="11" spans="1:19" s="9" customFormat="1" ht="15.6">
      <c r="A11" s="1188"/>
      <c r="B11" s="1188"/>
      <c r="C11" s="1188"/>
      <c r="D11" s="1188"/>
      <c r="E11" s="1188"/>
      <c r="F11" s="1188"/>
      <c r="G11" s="1188"/>
      <c r="H11" s="1188"/>
      <c r="I11" s="1188"/>
      <c r="J11" s="1188"/>
      <c r="K11" s="1188"/>
      <c r="L11" s="1188"/>
      <c r="M11" s="1188"/>
      <c r="N11" s="1188"/>
    </row>
    <row r="12" spans="1:19" s="9" customFormat="1"/>
    <row r="13" spans="1:19">
      <c r="A13" s="1161" t="s">
        <v>1171</v>
      </c>
      <c r="B13" s="937"/>
      <c r="C13" s="937"/>
      <c r="E13" s="1161" t="s">
        <v>1226</v>
      </c>
      <c r="F13" s="937"/>
      <c r="G13" s="937"/>
      <c r="H13" s="937"/>
      <c r="I13" s="937"/>
      <c r="J13" s="937"/>
      <c r="K13" s="937"/>
      <c r="L13" s="937"/>
      <c r="M13" s="938"/>
      <c r="N13" s="938"/>
      <c r="O13" s="938"/>
      <c r="P13" s="938"/>
      <c r="Q13" s="938"/>
      <c r="R13" s="938"/>
      <c r="S13" s="938"/>
    </row>
    <row r="14" spans="1:19">
      <c r="A14" s="939" t="s">
        <v>935</v>
      </c>
      <c r="B14" s="940" t="s">
        <v>936</v>
      </c>
      <c r="C14" s="939" t="s">
        <v>937</v>
      </c>
      <c r="E14" s="7"/>
      <c r="F14" s="941" t="s">
        <v>1227</v>
      </c>
      <c r="G14" s="941"/>
      <c r="H14" s="941"/>
      <c r="I14" s="941"/>
      <c r="J14" s="941"/>
      <c r="K14" s="941"/>
      <c r="L14" s="941"/>
      <c r="M14" s="941"/>
      <c r="N14" s="941"/>
      <c r="O14" s="941"/>
      <c r="P14" s="941"/>
      <c r="Q14" s="941"/>
      <c r="R14" s="941"/>
      <c r="S14" s="941"/>
    </row>
    <row r="15" spans="1:19">
      <c r="A15" s="7" t="s">
        <v>942</v>
      </c>
      <c r="B15" s="942">
        <v>6738</v>
      </c>
      <c r="C15" s="7" t="s">
        <v>943</v>
      </c>
      <c r="E15" s="943" t="s">
        <v>1228</v>
      </c>
      <c r="F15" s="761">
        <v>5</v>
      </c>
      <c r="G15" s="761">
        <v>10</v>
      </c>
      <c r="H15" s="761">
        <v>15</v>
      </c>
      <c r="I15" s="761">
        <v>20</v>
      </c>
      <c r="J15" s="761">
        <v>25</v>
      </c>
      <c r="K15" s="761">
        <v>30</v>
      </c>
      <c r="L15" s="761">
        <v>35</v>
      </c>
      <c r="M15" s="761">
        <v>40</v>
      </c>
      <c r="N15" s="761">
        <v>45</v>
      </c>
      <c r="O15" s="761">
        <v>50</v>
      </c>
      <c r="P15" s="761">
        <v>55</v>
      </c>
      <c r="Q15" s="761">
        <v>60</v>
      </c>
      <c r="R15" s="761">
        <v>80</v>
      </c>
      <c r="S15" s="761">
        <v>100</v>
      </c>
    </row>
    <row r="16" spans="1:19">
      <c r="A16" s="7" t="s">
        <v>946</v>
      </c>
      <c r="B16" s="942">
        <v>7440</v>
      </c>
      <c r="C16" s="7" t="s">
        <v>947</v>
      </c>
      <c r="E16" s="218">
        <v>1</v>
      </c>
      <c r="F16" s="613">
        <v>0.03</v>
      </c>
      <c r="G16" s="613">
        <v>0.04</v>
      </c>
      <c r="H16" s="613">
        <v>0.05</v>
      </c>
      <c r="I16" s="613">
        <v>0.06</v>
      </c>
      <c r="J16" s="613">
        <v>7.0000000000000007E-2</v>
      </c>
      <c r="K16" s="613">
        <v>0.08</v>
      </c>
      <c r="L16" s="613">
        <v>0.09</v>
      </c>
      <c r="M16" s="613">
        <v>0.1</v>
      </c>
      <c r="N16" s="613">
        <v>0.11</v>
      </c>
      <c r="O16" s="613">
        <v>0.12</v>
      </c>
      <c r="P16" s="613">
        <v>0.12</v>
      </c>
      <c r="Q16" s="613">
        <v>0.13</v>
      </c>
      <c r="R16" s="613">
        <v>0.16</v>
      </c>
      <c r="S16" s="613">
        <v>0.18</v>
      </c>
    </row>
    <row r="17" spans="1:19">
      <c r="A17" s="7" t="s">
        <v>949</v>
      </c>
      <c r="B17" s="942">
        <v>7172</v>
      </c>
      <c r="C17" s="7" t="s">
        <v>950</v>
      </c>
      <c r="E17" s="218">
        <v>2</v>
      </c>
      <c r="F17" s="613">
        <v>0.06</v>
      </c>
      <c r="G17" s="613">
        <v>0.09</v>
      </c>
      <c r="H17" s="613">
        <v>0.12</v>
      </c>
      <c r="I17" s="613">
        <v>0.15</v>
      </c>
      <c r="J17" s="613">
        <v>0.17</v>
      </c>
      <c r="K17" s="613">
        <v>0.19</v>
      </c>
      <c r="L17" s="613">
        <v>0.21</v>
      </c>
      <c r="M17" s="613">
        <v>0.23</v>
      </c>
      <c r="N17" s="613">
        <v>0.25</v>
      </c>
      <c r="O17" s="613">
        <v>0.26</v>
      </c>
      <c r="P17" s="613">
        <v>0.28000000000000003</v>
      </c>
      <c r="Q17" s="613">
        <v>0.28999999999999998</v>
      </c>
      <c r="R17" s="613">
        <v>0.35</v>
      </c>
      <c r="S17" s="613">
        <v>0.41</v>
      </c>
    </row>
    <row r="18" spans="1:19">
      <c r="A18" s="7" t="s">
        <v>953</v>
      </c>
      <c r="B18" s="942">
        <v>7747</v>
      </c>
      <c r="C18" s="71" t="s">
        <v>954</v>
      </c>
      <c r="E18" s="218">
        <v>4</v>
      </c>
      <c r="F18" s="613">
        <v>0.14000000000000001</v>
      </c>
      <c r="G18" s="613">
        <v>0.22</v>
      </c>
      <c r="H18" s="613">
        <v>0.28000000000000003</v>
      </c>
      <c r="I18" s="613">
        <v>0.33</v>
      </c>
      <c r="J18" s="613">
        <v>0.38</v>
      </c>
      <c r="K18" s="613">
        <v>0.43</v>
      </c>
      <c r="L18" s="613">
        <v>0.47</v>
      </c>
      <c r="M18" s="613">
        <v>0.51</v>
      </c>
      <c r="N18" s="613">
        <v>0.55000000000000004</v>
      </c>
      <c r="O18" s="613">
        <v>0.59</v>
      </c>
      <c r="P18" s="613">
        <v>0.63</v>
      </c>
      <c r="Q18" s="613">
        <v>0.67</v>
      </c>
      <c r="R18" s="613">
        <v>0.8</v>
      </c>
      <c r="S18" s="613">
        <v>0.92</v>
      </c>
    </row>
    <row r="19" spans="1:19">
      <c r="A19" s="7" t="s">
        <v>957</v>
      </c>
      <c r="B19" s="942">
        <v>4626</v>
      </c>
      <c r="C19" s="7" t="s">
        <v>958</v>
      </c>
      <c r="E19" s="218">
        <v>6</v>
      </c>
      <c r="F19" s="613">
        <v>0.23</v>
      </c>
      <c r="G19" s="613">
        <v>0.35</v>
      </c>
      <c r="H19" s="613">
        <v>0.45</v>
      </c>
      <c r="I19" s="613">
        <v>0.54</v>
      </c>
      <c r="J19" s="613">
        <v>0.62</v>
      </c>
      <c r="K19" s="613">
        <v>0.69</v>
      </c>
      <c r="L19" s="613">
        <v>0.77</v>
      </c>
      <c r="M19" s="613">
        <v>0.83</v>
      </c>
      <c r="N19" s="613">
        <v>0.9</v>
      </c>
      <c r="O19" s="613">
        <v>0.96</v>
      </c>
      <c r="P19" s="613">
        <v>1.02</v>
      </c>
      <c r="Q19" s="613">
        <v>1.07</v>
      </c>
      <c r="R19" s="613">
        <v>1.29</v>
      </c>
      <c r="S19" s="613">
        <v>1.48</v>
      </c>
    </row>
    <row r="20" spans="1:19">
      <c r="A20" s="7" t="s">
        <v>961</v>
      </c>
      <c r="B20" s="942">
        <v>9705</v>
      </c>
      <c r="C20" s="7" t="s">
        <v>958</v>
      </c>
      <c r="E20" s="218">
        <v>8</v>
      </c>
      <c r="F20" s="613">
        <v>0.32</v>
      </c>
      <c r="G20" s="613">
        <v>0.49</v>
      </c>
      <c r="H20" s="613">
        <v>0.63</v>
      </c>
      <c r="I20" s="613">
        <v>0.76</v>
      </c>
      <c r="J20" s="613">
        <v>0.87</v>
      </c>
      <c r="K20" s="613">
        <v>0.98</v>
      </c>
      <c r="L20" s="613">
        <v>1.08</v>
      </c>
      <c r="M20" s="613">
        <v>1.17</v>
      </c>
      <c r="N20" s="613">
        <v>1.26</v>
      </c>
      <c r="O20" s="613">
        <v>1.34</v>
      </c>
      <c r="P20" s="613">
        <v>1.43</v>
      </c>
      <c r="Q20" s="613">
        <v>1.51</v>
      </c>
      <c r="R20" s="613">
        <v>1.81</v>
      </c>
      <c r="S20" s="613">
        <v>2.08</v>
      </c>
    </row>
    <row r="21" spans="1:19">
      <c r="A21" s="451" t="s">
        <v>963</v>
      </c>
      <c r="B21" s="942">
        <v>4865</v>
      </c>
      <c r="C21" s="451" t="s">
        <v>964</v>
      </c>
      <c r="E21" s="218">
        <v>10</v>
      </c>
      <c r="F21" s="613">
        <v>0.41</v>
      </c>
      <c r="G21" s="613">
        <v>0.64</v>
      </c>
      <c r="H21" s="613">
        <v>0.82</v>
      </c>
      <c r="I21" s="613">
        <v>0.98</v>
      </c>
      <c r="J21" s="613">
        <v>1.1299999999999999</v>
      </c>
      <c r="K21" s="613">
        <v>1.27</v>
      </c>
      <c r="L21" s="613">
        <v>1.4</v>
      </c>
      <c r="M21" s="613">
        <v>1.52</v>
      </c>
      <c r="N21" s="613">
        <v>1.64</v>
      </c>
      <c r="O21" s="613">
        <v>1.75</v>
      </c>
      <c r="P21" s="613">
        <v>1.86</v>
      </c>
      <c r="Q21" s="613">
        <v>1.96</v>
      </c>
      <c r="R21" s="613">
        <v>2.36</v>
      </c>
      <c r="S21" s="613">
        <v>2.71</v>
      </c>
    </row>
    <row r="22" spans="1:19">
      <c r="A22" s="7" t="s">
        <v>967</v>
      </c>
      <c r="B22" s="942">
        <v>5835</v>
      </c>
      <c r="C22" s="71" t="s">
        <v>968</v>
      </c>
      <c r="E22" s="218">
        <v>12</v>
      </c>
      <c r="F22" s="613">
        <v>0.51</v>
      </c>
      <c r="G22" s="944">
        <v>0.79</v>
      </c>
      <c r="H22" s="613">
        <v>1.02</v>
      </c>
      <c r="I22" s="613">
        <v>1.22</v>
      </c>
      <c r="J22" s="613">
        <v>1.4</v>
      </c>
      <c r="K22" s="613">
        <v>1.57</v>
      </c>
      <c r="L22" s="613">
        <v>1.73</v>
      </c>
      <c r="M22" s="613">
        <v>1.89</v>
      </c>
      <c r="N22" s="613">
        <v>2.0299999999999998</v>
      </c>
      <c r="O22" s="613">
        <v>2.17</v>
      </c>
      <c r="P22" s="613">
        <v>2.2999999999999998</v>
      </c>
      <c r="Q22" s="613">
        <v>2.4300000000000002</v>
      </c>
      <c r="R22" s="613">
        <v>2.92</v>
      </c>
      <c r="S22" s="613">
        <v>3.36</v>
      </c>
    </row>
    <row r="23" spans="1:19">
      <c r="A23" s="7" t="s">
        <v>971</v>
      </c>
      <c r="B23" s="942">
        <v>5534</v>
      </c>
      <c r="C23" s="7" t="s">
        <v>972</v>
      </c>
      <c r="E23" s="218">
        <v>14</v>
      </c>
      <c r="F23" s="613">
        <v>0.61</v>
      </c>
      <c r="G23" s="613">
        <v>0.95</v>
      </c>
      <c r="H23" s="613">
        <v>1.22</v>
      </c>
      <c r="I23" s="613">
        <v>1.46</v>
      </c>
      <c r="J23" s="613">
        <v>1.68</v>
      </c>
      <c r="K23" s="613">
        <v>1.89</v>
      </c>
      <c r="L23" s="613">
        <v>2.08</v>
      </c>
      <c r="M23" s="613">
        <v>2.2599999999999998</v>
      </c>
      <c r="N23" s="613">
        <v>2.4300000000000002</v>
      </c>
      <c r="O23" s="613">
        <v>2.6</v>
      </c>
      <c r="P23" s="613">
        <v>2.76</v>
      </c>
      <c r="Q23" s="613">
        <v>2.92</v>
      </c>
      <c r="R23" s="613">
        <v>3.51</v>
      </c>
      <c r="S23" s="613">
        <v>4.03</v>
      </c>
    </row>
    <row r="24" spans="1:19">
      <c r="A24" s="7" t="s">
        <v>975</v>
      </c>
      <c r="B24" s="942">
        <v>11160</v>
      </c>
      <c r="C24" s="7" t="s">
        <v>972</v>
      </c>
      <c r="E24" s="218">
        <v>16</v>
      </c>
      <c r="F24" s="613">
        <v>0.71</v>
      </c>
      <c r="G24" s="613">
        <v>1.1100000000000001</v>
      </c>
      <c r="H24" s="613">
        <v>1.43</v>
      </c>
      <c r="I24" s="613">
        <v>1.71</v>
      </c>
      <c r="J24" s="613">
        <v>1.97</v>
      </c>
      <c r="K24" s="613">
        <v>2.21</v>
      </c>
      <c r="L24" s="613">
        <v>2.44</v>
      </c>
      <c r="M24" s="613">
        <v>2.65</v>
      </c>
      <c r="N24" s="613">
        <v>2.85</v>
      </c>
      <c r="O24" s="613">
        <v>3.05</v>
      </c>
      <c r="P24" s="613">
        <v>3.23</v>
      </c>
      <c r="Q24" s="613">
        <v>3.42</v>
      </c>
      <c r="R24" s="613">
        <v>4.0999999999999996</v>
      </c>
      <c r="S24" s="613">
        <v>4.72</v>
      </c>
    </row>
    <row r="25" spans="1:19">
      <c r="A25" s="7" t="s">
        <v>978</v>
      </c>
      <c r="B25" s="942">
        <v>5694</v>
      </c>
      <c r="C25" s="71" t="s">
        <v>979</v>
      </c>
      <c r="E25" s="218">
        <v>18</v>
      </c>
      <c r="F25" s="613">
        <v>0.82</v>
      </c>
      <c r="G25" s="613">
        <v>1.27</v>
      </c>
      <c r="H25" s="613">
        <v>1.64</v>
      </c>
      <c r="I25" s="613">
        <v>1.97</v>
      </c>
      <c r="J25" s="613">
        <v>2.27</v>
      </c>
      <c r="K25" s="613">
        <v>2.54</v>
      </c>
      <c r="L25" s="613">
        <v>2.8</v>
      </c>
      <c r="M25" s="613">
        <v>3.04</v>
      </c>
      <c r="N25" s="613">
        <v>3.27</v>
      </c>
      <c r="O25" s="613">
        <v>3.5</v>
      </c>
      <c r="P25" s="613">
        <v>3.72</v>
      </c>
      <c r="Q25" s="613">
        <v>3.93</v>
      </c>
      <c r="R25" s="613">
        <v>4.71</v>
      </c>
      <c r="S25" s="613">
        <v>5.43</v>
      </c>
    </row>
    <row r="26" spans="1:19">
      <c r="A26" s="7" t="s">
        <v>982</v>
      </c>
      <c r="B26" s="942">
        <v>3772</v>
      </c>
      <c r="C26" s="7" t="s">
        <v>983</v>
      </c>
      <c r="E26" s="761">
        <v>20</v>
      </c>
      <c r="F26" s="945">
        <v>0.93</v>
      </c>
      <c r="G26" s="945">
        <v>1.44</v>
      </c>
      <c r="H26" s="945">
        <v>1.86</v>
      </c>
      <c r="I26" s="945">
        <v>2.23</v>
      </c>
      <c r="J26" s="945">
        <v>2.57</v>
      </c>
      <c r="K26" s="945">
        <v>2.88</v>
      </c>
      <c r="L26" s="945">
        <v>3.17</v>
      </c>
      <c r="M26" s="945">
        <v>3.44</v>
      </c>
      <c r="N26" s="945">
        <v>3.71</v>
      </c>
      <c r="O26" s="945">
        <v>3.96</v>
      </c>
      <c r="P26" s="945">
        <v>4.21</v>
      </c>
      <c r="Q26" s="945">
        <v>4.45</v>
      </c>
      <c r="R26" s="945">
        <v>5.34</v>
      </c>
      <c r="S26" s="945">
        <v>6.14</v>
      </c>
    </row>
    <row r="27" spans="1:19">
      <c r="A27" s="7" t="s">
        <v>986</v>
      </c>
      <c r="B27" s="942">
        <v>6900</v>
      </c>
      <c r="C27" s="71" t="s">
        <v>987</v>
      </c>
      <c r="E27" s="5" t="s">
        <v>1229</v>
      </c>
    </row>
    <row r="28" spans="1:19">
      <c r="A28" s="7" t="s">
        <v>990</v>
      </c>
      <c r="B28" s="942">
        <v>8319</v>
      </c>
      <c r="C28" s="71" t="s">
        <v>991</v>
      </c>
    </row>
    <row r="29" spans="1:19">
      <c r="A29" s="7" t="s">
        <v>994</v>
      </c>
      <c r="B29" s="946">
        <v>8161.5</v>
      </c>
      <c r="C29" s="71" t="s">
        <v>995</v>
      </c>
    </row>
    <row r="30" spans="1:19">
      <c r="A30" s="7" t="s">
        <v>998</v>
      </c>
      <c r="B30" s="942">
        <v>7791</v>
      </c>
      <c r="C30" s="71" t="s">
        <v>999</v>
      </c>
      <c r="E30" s="937"/>
      <c r="F30" s="1162" t="s">
        <v>1240</v>
      </c>
      <c r="G30" s="947"/>
      <c r="H30" s="948"/>
      <c r="I30" s="948"/>
      <c r="J30" s="948"/>
      <c r="K30" s="948"/>
    </row>
    <row r="31" spans="1:19" ht="16.2">
      <c r="A31" s="7" t="s">
        <v>1002</v>
      </c>
      <c r="B31" s="942">
        <v>8353</v>
      </c>
      <c r="C31" s="71" t="s">
        <v>1003</v>
      </c>
      <c r="F31" s="2091" t="s">
        <v>1091</v>
      </c>
      <c r="G31" s="2091"/>
      <c r="H31" s="160"/>
      <c r="I31" s="949" t="s">
        <v>1483</v>
      </c>
      <c r="J31" s="949">
        <f>H31*2/1000</f>
        <v>0</v>
      </c>
      <c r="K31" s="949" t="s">
        <v>1089</v>
      </c>
    </row>
    <row r="32" spans="1:19" ht="16.2">
      <c r="A32" s="950" t="s">
        <v>1006</v>
      </c>
      <c r="B32" s="951">
        <v>11487.5</v>
      </c>
      <c r="C32" s="952" t="s">
        <v>1007</v>
      </c>
      <c r="F32" s="2091" t="s">
        <v>1092</v>
      </c>
      <c r="G32" s="2091"/>
      <c r="H32" s="160"/>
      <c r="I32" s="949" t="s">
        <v>1484</v>
      </c>
      <c r="J32" s="953">
        <f>H32*78.204/1000</f>
        <v>0</v>
      </c>
      <c r="K32" s="949" t="s">
        <v>1089</v>
      </c>
    </row>
    <row r="33" spans="1:9">
      <c r="F33" s="5" t="s">
        <v>1241</v>
      </c>
    </row>
    <row r="34" spans="1:9">
      <c r="A34" s="2087" t="s">
        <v>1516</v>
      </c>
      <c r="B34" s="2087"/>
      <c r="C34" s="2087"/>
      <c r="D34" s="2087"/>
    </row>
    <row r="35" spans="1:9">
      <c r="A35" s="2088" t="s">
        <v>940</v>
      </c>
      <c r="B35" s="2088"/>
      <c r="C35" s="2088"/>
      <c r="D35" s="954" t="s">
        <v>941</v>
      </c>
      <c r="F35" s="836"/>
      <c r="G35" s="790"/>
      <c r="H35" s="790"/>
      <c r="I35" s="790"/>
    </row>
    <row r="36" spans="1:9">
      <c r="A36" s="2088"/>
      <c r="B36" s="2088"/>
      <c r="C36" s="2088"/>
      <c r="D36" s="955" t="s">
        <v>945</v>
      </c>
      <c r="F36" s="836"/>
      <c r="G36" s="790"/>
      <c r="H36" s="790"/>
      <c r="I36" s="790"/>
    </row>
    <row r="37" spans="1:9">
      <c r="A37" s="764" t="s">
        <v>948</v>
      </c>
      <c r="B37" s="764"/>
      <c r="C37" s="764"/>
      <c r="D37" s="767">
        <v>1.9699999999999999E-2</v>
      </c>
      <c r="F37" s="790"/>
      <c r="G37" s="790"/>
      <c r="H37" s="790"/>
      <c r="I37" s="790"/>
    </row>
    <row r="38" spans="1:9">
      <c r="A38" s="764" t="s">
        <v>952</v>
      </c>
      <c r="B38" s="764"/>
      <c r="C38" s="764"/>
      <c r="D38" s="767">
        <v>0.42780000000000001</v>
      </c>
      <c r="F38" s="790"/>
      <c r="G38" s="790"/>
      <c r="H38" s="790"/>
      <c r="I38" s="790"/>
    </row>
    <row r="39" spans="1:9">
      <c r="A39" s="764" t="s">
        <v>956</v>
      </c>
      <c r="B39" s="764"/>
      <c r="C39" s="764"/>
      <c r="D39" s="767">
        <v>2.2800000000000001E-2</v>
      </c>
      <c r="F39" s="790"/>
      <c r="G39" s="790"/>
      <c r="H39" s="790"/>
      <c r="I39" s="790"/>
    </row>
    <row r="40" spans="1:9">
      <c r="A40" s="764" t="s">
        <v>960</v>
      </c>
      <c r="B40" s="764"/>
      <c r="C40" s="764"/>
      <c r="D40" s="767">
        <v>4.6600000000000003E-2</v>
      </c>
    </row>
    <row r="41" spans="1:9">
      <c r="A41" s="764" t="s">
        <v>962</v>
      </c>
      <c r="B41" s="764"/>
      <c r="C41" s="764"/>
      <c r="D41" s="767">
        <v>1.78E-2</v>
      </c>
    </row>
    <row r="42" spans="1:9">
      <c r="A42" s="764" t="s">
        <v>966</v>
      </c>
      <c r="B42" s="764"/>
      <c r="C42" s="764"/>
      <c r="D42" s="767">
        <v>2.5399999999999999E-2</v>
      </c>
    </row>
    <row r="43" spans="1:9">
      <c r="A43" s="764" t="s">
        <v>970</v>
      </c>
      <c r="B43" s="764"/>
      <c r="C43" s="764"/>
      <c r="D43" s="767">
        <v>3.4700000000000002E-2</v>
      </c>
    </row>
    <row r="44" spans="1:9">
      <c r="A44" s="764" t="s">
        <v>974</v>
      </c>
      <c r="B44" s="764"/>
      <c r="C44" s="764"/>
      <c r="D44" s="767">
        <v>4.3299999999999998E-2</v>
      </c>
    </row>
    <row r="45" spans="1:9">
      <c r="A45" s="764" t="s">
        <v>977</v>
      </c>
      <c r="B45" s="764"/>
      <c r="C45" s="764"/>
      <c r="D45" s="767">
        <v>4.41E-2</v>
      </c>
    </row>
    <row r="46" spans="1:9">
      <c r="A46" s="764" t="s">
        <v>981</v>
      </c>
      <c r="B46" s="764"/>
      <c r="C46" s="764"/>
      <c r="D46" s="767">
        <v>0.32669999999999999</v>
      </c>
    </row>
    <row r="47" spans="1:9">
      <c r="A47" s="764" t="s">
        <v>985</v>
      </c>
      <c r="B47" s="764"/>
      <c r="C47" s="764"/>
      <c r="D47" s="767">
        <v>4.4000000000000003E-3</v>
      </c>
    </row>
    <row r="48" spans="1:9">
      <c r="A48" s="764" t="s">
        <v>989</v>
      </c>
      <c r="B48" s="764"/>
      <c r="C48" s="764"/>
      <c r="D48" s="767">
        <v>7.1000000000000004E-3</v>
      </c>
    </row>
    <row r="49" spans="1:4">
      <c r="A49" s="764" t="s">
        <v>993</v>
      </c>
      <c r="B49" s="764"/>
      <c r="C49" s="764"/>
      <c r="D49" s="767">
        <v>2.63E-2</v>
      </c>
    </row>
    <row r="50" spans="1:4">
      <c r="A50" s="764" t="s">
        <v>997</v>
      </c>
      <c r="B50" s="764"/>
      <c r="C50" s="764"/>
      <c r="D50" s="767">
        <v>6.1000000000000004E-3</v>
      </c>
    </row>
    <row r="51" spans="1:4">
      <c r="A51" s="764" t="s">
        <v>1001</v>
      </c>
      <c r="B51" s="764"/>
      <c r="C51" s="764"/>
      <c r="D51" s="767">
        <v>5.7000000000000002E-2</v>
      </c>
    </row>
    <row r="52" spans="1:4">
      <c r="A52" s="764" t="s">
        <v>1005</v>
      </c>
      <c r="B52" s="764"/>
      <c r="C52" s="764"/>
      <c r="D52" s="767">
        <v>1.12E-2</v>
      </c>
    </row>
    <row r="53" spans="1:4">
      <c r="A53" s="764" t="s">
        <v>1009</v>
      </c>
      <c r="B53" s="764"/>
      <c r="C53" s="764"/>
      <c r="D53" s="767">
        <v>8.5000000000000006E-3</v>
      </c>
    </row>
    <row r="54" spans="1:4">
      <c r="A54" s="764" t="s">
        <v>1011</v>
      </c>
      <c r="B54" s="764"/>
      <c r="C54" s="764"/>
      <c r="D54" s="767">
        <v>0.24660000000000001</v>
      </c>
    </row>
    <row r="55" spans="1:4">
      <c r="A55" s="764" t="s">
        <v>1013</v>
      </c>
      <c r="B55" s="764"/>
      <c r="C55" s="764"/>
      <c r="D55" s="767">
        <v>0.15090000000000001</v>
      </c>
    </row>
    <row r="56" spans="1:4">
      <c r="A56" s="764" t="s">
        <v>1015</v>
      </c>
      <c r="B56" s="764"/>
      <c r="C56" s="764"/>
      <c r="D56" s="767">
        <v>0.14480000000000001</v>
      </c>
    </row>
    <row r="57" spans="1:4">
      <c r="A57" s="764" t="s">
        <v>1017</v>
      </c>
      <c r="B57" s="764"/>
      <c r="C57" s="764"/>
      <c r="D57" s="767">
        <v>3.5499999999999997E-2</v>
      </c>
    </row>
    <row r="58" spans="1:4">
      <c r="A58" s="764" t="s">
        <v>1019</v>
      </c>
      <c r="B58" s="764"/>
      <c r="C58" s="764"/>
      <c r="D58" s="767">
        <v>1.2999999999999999E-2</v>
      </c>
    </row>
    <row r="59" spans="1:4">
      <c r="A59" s="764" t="s">
        <v>1021</v>
      </c>
      <c r="B59" s="764"/>
      <c r="C59" s="764"/>
      <c r="D59" s="767">
        <v>1.04E-2</v>
      </c>
    </row>
    <row r="60" spans="1:4">
      <c r="A60" s="764" t="s">
        <v>1023</v>
      </c>
      <c r="B60" s="764"/>
      <c r="C60" s="764"/>
      <c r="D60" s="767">
        <v>8.0999999999999996E-3</v>
      </c>
    </row>
    <row r="61" spans="1:4">
      <c r="A61" s="764" t="s">
        <v>1025</v>
      </c>
      <c r="B61" s="764"/>
      <c r="C61" s="764"/>
      <c r="D61" s="767">
        <v>3.1699999999999999E-2</v>
      </c>
    </row>
    <row r="62" spans="1:4">
      <c r="A62" s="451" t="s">
        <v>1027</v>
      </c>
      <c r="D62" s="218"/>
    </row>
    <row r="64" spans="1:4" ht="28.8">
      <c r="A64" s="2089" t="s">
        <v>940</v>
      </c>
      <c r="B64" s="2089"/>
      <c r="C64" s="2089"/>
      <c r="D64" s="954" t="s">
        <v>1030</v>
      </c>
    </row>
    <row r="65" spans="1:4">
      <c r="A65" s="2090"/>
      <c r="B65" s="2090"/>
      <c r="C65" s="2090"/>
      <c r="D65" s="956" t="s">
        <v>945</v>
      </c>
    </row>
    <row r="66" spans="1:4">
      <c r="A66" s="764" t="s">
        <v>1033</v>
      </c>
      <c r="B66" s="764"/>
      <c r="C66" s="764"/>
      <c r="D66" s="767">
        <v>0.42780000000000001</v>
      </c>
    </row>
    <row r="67" spans="1:4">
      <c r="A67" s="764" t="s">
        <v>1034</v>
      </c>
      <c r="B67" s="764"/>
      <c r="C67" s="764"/>
      <c r="D67" s="957">
        <v>2.0299999999999999E-2</v>
      </c>
    </row>
    <row r="68" spans="1:4">
      <c r="A68" s="764" t="s">
        <v>1035</v>
      </c>
      <c r="B68" s="764"/>
      <c r="C68" s="764"/>
      <c r="D68" s="767">
        <v>4.6600000000000003E-2</v>
      </c>
    </row>
    <row r="69" spans="1:4">
      <c r="A69" s="764" t="s">
        <v>1036</v>
      </c>
      <c r="B69" s="764"/>
      <c r="C69" s="764"/>
      <c r="D69" s="957">
        <v>3.4700000000000002E-2</v>
      </c>
    </row>
    <row r="70" spans="1:4">
      <c r="A70" s="764" t="s">
        <v>1037</v>
      </c>
      <c r="B70" s="764"/>
      <c r="C70" s="764"/>
      <c r="D70" s="767">
        <v>4.3299999999999998E-2</v>
      </c>
    </row>
    <row r="71" spans="1:4">
      <c r="A71" s="764" t="s">
        <v>1038</v>
      </c>
      <c r="B71" s="764"/>
      <c r="C71" s="764"/>
      <c r="D71" s="767">
        <v>4.4000000000000003E-3</v>
      </c>
    </row>
    <row r="72" spans="1:4">
      <c r="A72" s="764" t="s">
        <v>1039</v>
      </c>
      <c r="B72" s="764"/>
      <c r="C72" s="764"/>
      <c r="D72" s="957">
        <v>1.2E-2</v>
      </c>
    </row>
    <row r="73" spans="1:4">
      <c r="A73" s="764" t="s">
        <v>1040</v>
      </c>
      <c r="B73" s="764"/>
      <c r="C73" s="764"/>
      <c r="D73" s="767">
        <v>5.7000000000000002E-2</v>
      </c>
    </row>
    <row r="74" spans="1:4">
      <c r="A74" s="764" t="s">
        <v>1041</v>
      </c>
      <c r="B74" s="764"/>
      <c r="C74" s="764"/>
      <c r="D74" s="767">
        <v>1.12E-2</v>
      </c>
    </row>
    <row r="75" spans="1:4">
      <c r="A75" s="764" t="s">
        <v>1042</v>
      </c>
      <c r="B75" s="764"/>
      <c r="C75" s="764"/>
      <c r="D75" s="957">
        <v>0.19869999999999999</v>
      </c>
    </row>
    <row r="76" spans="1:4">
      <c r="A76" s="764" t="s">
        <v>1043</v>
      </c>
      <c r="B76" s="764"/>
      <c r="C76" s="764"/>
      <c r="D76" s="767">
        <v>0.14480000000000001</v>
      </c>
    </row>
    <row r="77" spans="1:4">
      <c r="A77" s="764" t="s">
        <v>1044</v>
      </c>
      <c r="B77" s="764"/>
      <c r="C77" s="764"/>
      <c r="D77" s="957">
        <v>2.29E-2</v>
      </c>
    </row>
    <row r="80" spans="1:4">
      <c r="A80" s="1163" t="s">
        <v>1517</v>
      </c>
      <c r="B80" s="767"/>
    </row>
    <row r="81" spans="1:2">
      <c r="A81" s="958" t="s">
        <v>938</v>
      </c>
      <c r="B81" s="959" t="s">
        <v>939</v>
      </c>
    </row>
    <row r="82" spans="1:2">
      <c r="A82" s="216" t="s">
        <v>944</v>
      </c>
      <c r="B82" s="960">
        <v>0.25</v>
      </c>
    </row>
    <row r="83" spans="1:2">
      <c r="A83" s="216" t="s">
        <v>779</v>
      </c>
      <c r="B83" s="960">
        <v>0.62</v>
      </c>
    </row>
    <row r="84" spans="1:2">
      <c r="A84" s="216" t="s">
        <v>951</v>
      </c>
      <c r="B84" s="960">
        <v>0.62</v>
      </c>
    </row>
    <row r="85" spans="1:2">
      <c r="A85" s="216" t="s">
        <v>955</v>
      </c>
      <c r="B85" s="960">
        <v>0.1</v>
      </c>
    </row>
    <row r="86" spans="1:2">
      <c r="A86" s="216" t="s">
        <v>959</v>
      </c>
      <c r="B86" s="960">
        <v>0.75</v>
      </c>
    </row>
    <row r="87" spans="1:2">
      <c r="A87" s="216" t="s">
        <v>659</v>
      </c>
      <c r="B87" s="960">
        <v>0.37</v>
      </c>
    </row>
    <row r="88" spans="1:2">
      <c r="A88" s="216" t="s">
        <v>965</v>
      </c>
      <c r="B88" s="960">
        <v>0.5</v>
      </c>
    </row>
    <row r="89" spans="1:2">
      <c r="A89" s="216" t="s">
        <v>969</v>
      </c>
      <c r="B89" s="960">
        <v>0.25</v>
      </c>
    </row>
    <row r="90" spans="1:2">
      <c r="A90" s="216" t="s">
        <v>973</v>
      </c>
      <c r="B90" s="960">
        <v>0.15</v>
      </c>
    </row>
    <row r="91" spans="1:2">
      <c r="A91" s="216" t="s">
        <v>976</v>
      </c>
      <c r="B91" s="960">
        <v>1</v>
      </c>
    </row>
    <row r="92" spans="1:2">
      <c r="A92" s="958" t="s">
        <v>980</v>
      </c>
      <c r="B92" s="959" t="s">
        <v>939</v>
      </c>
    </row>
    <row r="93" spans="1:2">
      <c r="A93" s="216" t="s">
        <v>984</v>
      </c>
      <c r="B93" s="960">
        <v>0.2</v>
      </c>
    </row>
    <row r="94" spans="1:2">
      <c r="A94" s="216" t="s">
        <v>988</v>
      </c>
      <c r="B94" s="960">
        <v>0.13</v>
      </c>
    </row>
    <row r="95" spans="1:2">
      <c r="A95" s="211" t="s">
        <v>992</v>
      </c>
      <c r="B95" s="613">
        <v>0.1</v>
      </c>
    </row>
    <row r="96" spans="1:2">
      <c r="A96" s="211" t="s">
        <v>996</v>
      </c>
      <c r="B96" s="613">
        <v>0.08</v>
      </c>
    </row>
    <row r="97" spans="1:2">
      <c r="A97" s="211" t="s">
        <v>1000</v>
      </c>
      <c r="B97" s="613">
        <v>0.05</v>
      </c>
    </row>
    <row r="98" spans="1:2">
      <c r="A98" s="211" t="s">
        <v>1004</v>
      </c>
      <c r="B98" s="613">
        <v>0.03</v>
      </c>
    </row>
    <row r="99" spans="1:2">
      <c r="A99" s="211" t="s">
        <v>1008</v>
      </c>
      <c r="B99" s="613">
        <v>0.4</v>
      </c>
    </row>
    <row r="100" spans="1:2">
      <c r="A100" s="211" t="s">
        <v>1010</v>
      </c>
      <c r="B100" s="613">
        <v>0.31</v>
      </c>
    </row>
    <row r="101" spans="1:2">
      <c r="A101" s="211" t="s">
        <v>1012</v>
      </c>
      <c r="B101" s="613">
        <v>0.04</v>
      </c>
    </row>
    <row r="102" spans="1:2">
      <c r="A102" s="211" t="s">
        <v>1014</v>
      </c>
      <c r="B102" s="613">
        <v>0.05</v>
      </c>
    </row>
    <row r="103" spans="1:2">
      <c r="A103" s="211" t="s">
        <v>1016</v>
      </c>
      <c r="B103" s="613">
        <v>0.03</v>
      </c>
    </row>
    <row r="104" spans="1:2">
      <c r="A104" s="211" t="s">
        <v>1018</v>
      </c>
      <c r="B104" s="613">
        <v>0.38</v>
      </c>
    </row>
    <row r="105" spans="1:2">
      <c r="A105" s="211" t="s">
        <v>1020</v>
      </c>
      <c r="B105" s="613">
        <v>0.22</v>
      </c>
    </row>
    <row r="106" spans="1:2">
      <c r="A106" s="211" t="s">
        <v>1022</v>
      </c>
      <c r="B106" s="613">
        <v>0.19</v>
      </c>
    </row>
    <row r="107" spans="1:2">
      <c r="A107" s="211" t="s">
        <v>1024</v>
      </c>
      <c r="B107" s="613">
        <v>0.11</v>
      </c>
    </row>
    <row r="108" spans="1:2">
      <c r="A108" s="211" t="s">
        <v>1026</v>
      </c>
      <c r="B108" s="613">
        <v>0.25</v>
      </c>
    </row>
    <row r="109" spans="1:2">
      <c r="A109" s="211" t="s">
        <v>1028</v>
      </c>
      <c r="B109" s="613">
        <v>0.12</v>
      </c>
    </row>
    <row r="110" spans="1:2">
      <c r="A110" s="211" t="s">
        <v>1029</v>
      </c>
      <c r="B110" s="613">
        <v>0.1</v>
      </c>
    </row>
    <row r="111" spans="1:2">
      <c r="A111" s="211" t="s">
        <v>1031</v>
      </c>
      <c r="B111" s="613">
        <v>0.01</v>
      </c>
    </row>
    <row r="112" spans="1:2">
      <c r="A112" s="961" t="s">
        <v>1032</v>
      </c>
      <c r="B112" s="962">
        <v>0.03</v>
      </c>
    </row>
    <row r="162" spans="1:2">
      <c r="A162" s="211" t="s">
        <v>1022</v>
      </c>
      <c r="B162" s="613">
        <v>0.19</v>
      </c>
    </row>
    <row r="163" spans="1:2">
      <c r="A163" s="211" t="s">
        <v>1024</v>
      </c>
      <c r="B163" s="613">
        <v>0.11</v>
      </c>
    </row>
    <row r="164" spans="1:2">
      <c r="A164" s="211" t="s">
        <v>1026</v>
      </c>
      <c r="B164" s="613">
        <v>0.25</v>
      </c>
    </row>
    <row r="165" spans="1:2">
      <c r="A165" s="211" t="s">
        <v>1028</v>
      </c>
      <c r="B165" s="613">
        <v>0.12</v>
      </c>
    </row>
    <row r="166" spans="1:2">
      <c r="A166" s="211" t="s">
        <v>1029</v>
      </c>
      <c r="B166" s="613">
        <v>0.1</v>
      </c>
    </row>
    <row r="167" spans="1:2">
      <c r="A167" s="211" t="s">
        <v>1031</v>
      </c>
      <c r="B167" s="613">
        <v>0.01</v>
      </c>
    </row>
    <row r="168" spans="1:2">
      <c r="A168" s="961" t="s">
        <v>1032</v>
      </c>
      <c r="B168" s="962">
        <v>0.03</v>
      </c>
    </row>
    <row r="182" spans="1:2">
      <c r="A182" s="211" t="s">
        <v>1028</v>
      </c>
      <c r="B182" s="613">
        <v>0.12</v>
      </c>
    </row>
    <row r="183" spans="1:2">
      <c r="A183" s="211" t="s">
        <v>1029</v>
      </c>
      <c r="B183" s="613">
        <v>0.1</v>
      </c>
    </row>
    <row r="184" spans="1:2">
      <c r="A184" s="211" t="s">
        <v>1045</v>
      </c>
      <c r="B184" s="613">
        <v>0.01</v>
      </c>
    </row>
    <row r="185" spans="1:2">
      <c r="A185" s="961" t="s">
        <v>1046</v>
      </c>
      <c r="B185" s="962">
        <v>0.03</v>
      </c>
    </row>
    <row r="186" spans="1:2">
      <c r="A186" s="5" t="s">
        <v>1047</v>
      </c>
    </row>
    <row r="188" spans="1:2">
      <c r="A188" s="963" t="s">
        <v>1048</v>
      </c>
    </row>
    <row r="189" spans="1:2">
      <c r="A189" s="963" t="s">
        <v>1049</v>
      </c>
    </row>
    <row r="190" spans="1:2">
      <c r="A190" s="963" t="s">
        <v>1050</v>
      </c>
    </row>
  </sheetData>
  <sheetProtection sheet="1" objects="1" scenarios="1" selectLockedCells="1"/>
  <mergeCells count="6">
    <mergeCell ref="A34:D34"/>
    <mergeCell ref="A7:N7"/>
    <mergeCell ref="A35:C36"/>
    <mergeCell ref="A64:C65"/>
    <mergeCell ref="F31:G31"/>
    <mergeCell ref="F32:G32"/>
  </mergeCells>
  <pageMargins left="0.511811024" right="0.511811024" top="0.78740157499999996" bottom="0.78740157499999996" header="0.31496062000000002" footer="0.31496062000000002"/>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1:AF76"/>
  <sheetViews>
    <sheetView showGridLines="0" zoomScale="90" zoomScaleNormal="90" workbookViewId="0">
      <selection activeCell="AC29" sqref="AC29:AD29"/>
    </sheetView>
  </sheetViews>
  <sheetFormatPr defaultColWidth="0" defaultRowHeight="15" customHeight="1" zeroHeight="1"/>
  <cols>
    <col min="1" max="11" width="2.44140625" style="5" customWidth="1"/>
    <col min="12" max="13" width="8.88671875" style="5" customWidth="1"/>
    <col min="14" max="14" width="9" style="5" customWidth="1"/>
    <col min="15" max="26" width="8.88671875" style="5" customWidth="1"/>
    <col min="27" max="27" width="7.44140625" style="5" customWidth="1"/>
    <col min="28" max="28" width="2.109375" style="5" customWidth="1"/>
    <col min="29" max="29" width="6.5546875" style="5" customWidth="1"/>
    <col min="30" max="30" width="10.44140625" style="5" customWidth="1"/>
    <col min="31" max="31" width="6" style="5" customWidth="1"/>
    <col min="32" max="32" width="16" style="5" customWidth="1"/>
    <col min="33" max="16384" width="8.88671875" style="5" hidden="1"/>
  </cols>
  <sheetData>
    <row r="1" spans="2:31" ht="14.4"/>
    <row r="2" spans="2:31" ht="14.4"/>
    <row r="3" spans="2:31" ht="14.4"/>
    <row r="4" spans="2:31" ht="14.4"/>
    <row r="5" spans="2:31" ht="14.4"/>
    <row r="6" spans="2:31" ht="14.4"/>
    <row r="7" spans="2:31" ht="14.4"/>
    <row r="8" spans="2:31" ht="15" customHeight="1">
      <c r="L8" s="1591" t="s">
        <v>1696</v>
      </c>
    </row>
    <row r="9" spans="2:31" ht="14.4">
      <c r="L9" s="1568" t="s">
        <v>1695</v>
      </c>
      <c r="M9" s="1566"/>
      <c r="N9" s="1566"/>
      <c r="O9" s="1566"/>
      <c r="P9" s="1566"/>
      <c r="Q9" s="1566"/>
      <c r="R9" s="1566"/>
      <c r="S9" s="1566"/>
      <c r="T9" s="1566"/>
      <c r="U9" s="1566"/>
      <c r="V9" s="1566"/>
      <c r="W9" s="1566"/>
      <c r="X9" s="1566"/>
      <c r="Y9" s="1566"/>
      <c r="Z9" s="1566"/>
      <c r="AA9" s="1566"/>
      <c r="AB9" s="1566"/>
      <c r="AC9" s="1566"/>
      <c r="AD9" s="1566"/>
      <c r="AE9" s="1566"/>
    </row>
    <row r="10" spans="2:31" ht="14.4">
      <c r="L10" s="1567"/>
      <c r="M10" s="1567"/>
      <c r="N10" s="1567"/>
      <c r="O10" s="1567"/>
      <c r="P10" s="1567"/>
      <c r="Q10" s="1567"/>
      <c r="R10" s="1567"/>
      <c r="S10" s="1567"/>
      <c r="T10" s="1567"/>
      <c r="U10" s="1567"/>
      <c r="V10" s="1567"/>
      <c r="W10" s="1567"/>
      <c r="X10" s="1567"/>
      <c r="Y10" s="1567"/>
      <c r="Z10" s="1567"/>
      <c r="AA10" s="1567"/>
      <c r="AB10" s="1567"/>
      <c r="AC10" s="1567"/>
      <c r="AD10" s="1567"/>
      <c r="AE10" s="1567"/>
    </row>
    <row r="11" spans="2:31" ht="14.4">
      <c r="B11" s="1612" t="s">
        <v>1697</v>
      </c>
      <c r="C11" s="1612"/>
      <c r="D11" s="1612"/>
      <c r="E11" s="1612"/>
      <c r="F11" s="1612"/>
      <c r="G11" s="1612"/>
      <c r="H11" s="1612"/>
      <c r="I11" s="1612"/>
      <c r="J11" s="1612"/>
      <c r="K11" s="1612"/>
      <c r="L11" s="1613" t="s">
        <v>1708</v>
      </c>
      <c r="M11" s="1613"/>
      <c r="N11" s="1613"/>
      <c r="O11" s="1613"/>
      <c r="P11" s="1613"/>
      <c r="Q11" s="1613"/>
      <c r="R11" s="1613"/>
      <c r="S11" s="1613"/>
      <c r="T11" s="1613"/>
      <c r="U11" s="1613"/>
      <c r="V11" s="1613"/>
      <c r="W11" s="1613"/>
      <c r="X11" s="1613"/>
      <c r="Y11" s="1613"/>
      <c r="Z11" s="1613"/>
      <c r="AA11" s="1613"/>
      <c r="AB11" s="1613"/>
      <c r="AC11" s="1613"/>
      <c r="AD11" s="1567"/>
      <c r="AE11" s="1567"/>
    </row>
    <row r="12" spans="2:31" ht="15" customHeight="1">
      <c r="B12" s="1609" t="s">
        <v>1690</v>
      </c>
      <c r="C12" s="1610"/>
      <c r="D12" s="1610"/>
      <c r="E12" s="1610"/>
      <c r="F12" s="1610"/>
      <c r="G12" s="1610"/>
      <c r="H12" s="1610"/>
      <c r="I12" s="1610"/>
      <c r="J12" s="1610"/>
      <c r="K12" s="1611"/>
      <c r="L12" s="1608" t="s">
        <v>1699</v>
      </c>
      <c r="M12" s="1608"/>
      <c r="N12" s="1608"/>
      <c r="O12" s="1608"/>
      <c r="P12" s="1608"/>
      <c r="Q12" s="1608"/>
      <c r="R12" s="1608"/>
      <c r="S12" s="1608"/>
      <c r="T12" s="1608"/>
      <c r="U12" s="1608"/>
      <c r="V12" s="1608"/>
      <c r="W12" s="1608"/>
      <c r="X12" s="1608"/>
      <c r="Y12" s="1608"/>
      <c r="Z12" s="1608"/>
      <c r="AA12" s="1608"/>
      <c r="AB12" s="1608"/>
      <c r="AC12" s="1608"/>
      <c r="AD12" s="1567"/>
      <c r="AE12" s="1567"/>
    </row>
    <row r="13" spans="2:31" ht="27.75" customHeight="1">
      <c r="B13" s="1615" t="s">
        <v>1251</v>
      </c>
      <c r="C13" s="1616"/>
      <c r="D13" s="1616"/>
      <c r="E13" s="1616"/>
      <c r="F13" s="1616"/>
      <c r="G13" s="1616"/>
      <c r="H13" s="1616"/>
      <c r="I13" s="1616"/>
      <c r="J13" s="1616"/>
      <c r="K13" s="1617"/>
      <c r="L13" s="1608" t="s">
        <v>1703</v>
      </c>
      <c r="M13" s="1608"/>
      <c r="N13" s="1608"/>
      <c r="O13" s="1608"/>
      <c r="P13" s="1608"/>
      <c r="Q13" s="1608"/>
      <c r="R13" s="1608"/>
      <c r="S13" s="1608"/>
      <c r="T13" s="1608"/>
      <c r="U13" s="1608"/>
      <c r="V13" s="1608"/>
      <c r="W13" s="1608"/>
      <c r="X13" s="1608"/>
      <c r="Y13" s="1608"/>
      <c r="Z13" s="1608"/>
      <c r="AA13" s="1608"/>
      <c r="AB13" s="1608"/>
      <c r="AC13" s="1608"/>
      <c r="AD13" s="1567"/>
      <c r="AE13" s="1567"/>
    </row>
    <row r="14" spans="2:31" ht="14.4">
      <c r="B14" s="1619" t="s">
        <v>1704</v>
      </c>
      <c r="C14" s="1620"/>
      <c r="D14" s="1620"/>
      <c r="E14" s="1620"/>
      <c r="F14" s="1620"/>
      <c r="G14" s="1620"/>
      <c r="H14" s="1620"/>
      <c r="I14" s="1620"/>
      <c r="J14" s="1620"/>
      <c r="K14" s="1621"/>
      <c r="L14" s="1618" t="s">
        <v>1706</v>
      </c>
      <c r="M14" s="1618"/>
      <c r="N14" s="1618"/>
      <c r="O14" s="1618"/>
      <c r="P14" s="1618"/>
      <c r="Q14" s="1618"/>
      <c r="R14" s="1618"/>
      <c r="S14" s="1618"/>
      <c r="T14" s="1618"/>
      <c r="U14" s="1618"/>
      <c r="V14" s="1618"/>
      <c r="W14" s="1618"/>
      <c r="X14" s="1618"/>
      <c r="Y14" s="1618"/>
      <c r="Z14" s="1618"/>
      <c r="AA14" s="1618"/>
      <c r="AB14" s="1618"/>
      <c r="AC14" s="1618"/>
      <c r="AD14" s="1567"/>
      <c r="AE14" s="1567"/>
    </row>
    <row r="15" spans="2:31" ht="27.75" customHeight="1">
      <c r="B15" s="1622"/>
      <c r="C15" s="1623"/>
      <c r="D15" s="1623"/>
      <c r="E15" s="1623"/>
      <c r="F15" s="1623"/>
      <c r="G15" s="1623"/>
      <c r="H15" s="1623"/>
      <c r="I15" s="1623"/>
      <c r="J15" s="1623"/>
      <c r="K15" s="1624"/>
      <c r="L15" s="1628" t="s">
        <v>1705</v>
      </c>
      <c r="M15" s="1629"/>
      <c r="N15" s="1629"/>
      <c r="O15" s="1629"/>
      <c r="P15" s="1629"/>
      <c r="Q15" s="1629"/>
      <c r="R15" s="1629"/>
      <c r="S15" s="1629"/>
      <c r="T15" s="1629"/>
      <c r="U15" s="1629"/>
      <c r="V15" s="1629"/>
      <c r="W15" s="1629"/>
      <c r="X15" s="1629"/>
      <c r="Y15" s="1629"/>
      <c r="Z15" s="1629"/>
      <c r="AA15" s="1629"/>
      <c r="AB15" s="1629"/>
      <c r="AC15" s="1630"/>
      <c r="AD15" s="1567"/>
      <c r="AE15" s="1567"/>
    </row>
    <row r="16" spans="2:31" ht="14.4">
      <c r="B16" s="1625"/>
      <c r="C16" s="1626"/>
      <c r="D16" s="1626"/>
      <c r="E16" s="1626"/>
      <c r="F16" s="1626"/>
      <c r="G16" s="1626"/>
      <c r="H16" s="1626"/>
      <c r="I16" s="1626"/>
      <c r="J16" s="1626"/>
      <c r="K16" s="1627"/>
      <c r="L16" s="1628" t="s">
        <v>1707</v>
      </c>
      <c r="M16" s="1629"/>
      <c r="N16" s="1629"/>
      <c r="O16" s="1629"/>
      <c r="P16" s="1629"/>
      <c r="Q16" s="1629"/>
      <c r="R16" s="1629"/>
      <c r="S16" s="1629"/>
      <c r="T16" s="1629"/>
      <c r="U16" s="1629"/>
      <c r="V16" s="1629"/>
      <c r="W16" s="1629"/>
      <c r="X16" s="1629"/>
      <c r="Y16" s="1629"/>
      <c r="Z16" s="1629"/>
      <c r="AA16" s="1629"/>
      <c r="AB16" s="1629"/>
      <c r="AC16" s="1630"/>
      <c r="AD16" s="1567"/>
      <c r="AE16" s="1567"/>
    </row>
    <row r="17" spans="2:31" ht="30" customHeight="1">
      <c r="B17" s="1615" t="s">
        <v>1698</v>
      </c>
      <c r="C17" s="1616"/>
      <c r="D17" s="1616"/>
      <c r="E17" s="1616"/>
      <c r="F17" s="1616"/>
      <c r="G17" s="1616"/>
      <c r="H17" s="1616"/>
      <c r="I17" s="1616"/>
      <c r="J17" s="1616"/>
      <c r="K17" s="1617"/>
      <c r="L17" s="1608" t="s">
        <v>1700</v>
      </c>
      <c r="M17" s="1608"/>
      <c r="N17" s="1608"/>
      <c r="O17" s="1608"/>
      <c r="P17" s="1608"/>
      <c r="Q17" s="1608"/>
      <c r="R17" s="1608"/>
      <c r="S17" s="1608"/>
      <c r="T17" s="1608"/>
      <c r="U17" s="1608"/>
      <c r="V17" s="1608"/>
      <c r="W17" s="1608"/>
      <c r="X17" s="1608"/>
      <c r="Y17" s="1608"/>
      <c r="Z17" s="1608"/>
      <c r="AA17" s="1608"/>
      <c r="AB17" s="1608"/>
      <c r="AC17" s="1608"/>
      <c r="AD17" s="1592"/>
      <c r="AE17" s="1592"/>
    </row>
    <row r="18" spans="2:31" ht="29.25" customHeight="1">
      <c r="L18" s="1606"/>
      <c r="M18" s="1606"/>
      <c r="N18" s="1606"/>
      <c r="O18" s="1606"/>
      <c r="P18" s="1606"/>
      <c r="Q18" s="1606"/>
      <c r="R18" s="1606"/>
      <c r="S18" s="1606"/>
      <c r="T18" s="1606"/>
      <c r="U18" s="1606"/>
      <c r="V18" s="1606"/>
      <c r="W18" s="1606"/>
      <c r="X18" s="1606"/>
      <c r="Y18" s="1606"/>
      <c r="Z18" s="1606"/>
      <c r="AA18" s="1606"/>
      <c r="AB18" s="1606"/>
      <c r="AC18" s="1606"/>
      <c r="AD18" s="1606"/>
      <c r="AE18" s="1606"/>
    </row>
    <row r="19" spans="2:31" ht="30" customHeight="1">
      <c r="L19" s="1607"/>
      <c r="M19" s="1607"/>
      <c r="N19" s="1607"/>
      <c r="O19" s="1607"/>
      <c r="P19" s="1607"/>
      <c r="Q19" s="1607"/>
      <c r="R19" s="1607"/>
      <c r="S19" s="1607"/>
      <c r="T19" s="1607"/>
      <c r="U19" s="1607"/>
      <c r="V19" s="1607"/>
      <c r="W19" s="1607"/>
      <c r="X19" s="1607"/>
      <c r="Y19" s="1607"/>
      <c r="Z19" s="1607"/>
      <c r="AA19" s="1607"/>
      <c r="AB19" s="1607"/>
      <c r="AC19" s="1607"/>
      <c r="AD19" s="1607"/>
      <c r="AE19" s="1607"/>
    </row>
    <row r="20" spans="2:31" ht="30" customHeight="1">
      <c r="L20" s="1607"/>
      <c r="M20" s="1607"/>
      <c r="N20" s="1607"/>
      <c r="O20" s="1607"/>
      <c r="P20" s="1607"/>
      <c r="Q20" s="1607"/>
      <c r="R20" s="1607"/>
      <c r="S20" s="1607"/>
      <c r="T20" s="1607"/>
      <c r="U20" s="1607"/>
      <c r="V20" s="1607"/>
      <c r="W20" s="1607"/>
      <c r="X20" s="1607"/>
      <c r="Y20" s="1607"/>
      <c r="Z20" s="1607"/>
      <c r="AA20" s="1607"/>
      <c r="AB20" s="1607"/>
      <c r="AC20" s="1607"/>
      <c r="AD20" s="1607"/>
      <c r="AE20" s="1607"/>
    </row>
    <row r="21" spans="2:31" ht="14.4">
      <c r="L21" s="1614"/>
      <c r="M21" s="1614"/>
      <c r="N21" s="1614"/>
      <c r="O21" s="1614"/>
      <c r="P21" s="1614"/>
      <c r="Q21" s="1614"/>
      <c r="R21" s="1614"/>
      <c r="S21" s="1614"/>
      <c r="T21" s="1614"/>
      <c r="U21" s="1614"/>
      <c r="V21" s="1614"/>
      <c r="W21" s="1614"/>
      <c r="X21" s="1614"/>
      <c r="Y21" s="1614"/>
      <c r="Z21" s="1614"/>
      <c r="AA21" s="1614"/>
      <c r="AB21" s="1614"/>
      <c r="AC21" s="1614"/>
      <c r="AD21" s="1614"/>
      <c r="AE21" s="1614"/>
    </row>
    <row r="22" spans="2:31" ht="7.5" customHeight="1">
      <c r="L22" s="1551"/>
      <c r="M22" s="1551"/>
      <c r="N22" s="1551"/>
      <c r="O22" s="1551"/>
      <c r="P22" s="1551"/>
      <c r="Q22" s="1551"/>
      <c r="R22" s="1551"/>
      <c r="S22" s="1551"/>
      <c r="T22" s="1551"/>
      <c r="U22" s="1551"/>
      <c r="V22" s="1551"/>
      <c r="W22" s="1551"/>
      <c r="X22" s="1551"/>
      <c r="Y22" s="1551"/>
      <c r="Z22" s="1551"/>
      <c r="AA22" s="1551"/>
      <c r="AB22" s="1551"/>
      <c r="AC22" s="1551"/>
      <c r="AD22" s="1551"/>
      <c r="AE22" s="1551"/>
    </row>
    <row r="23" spans="2:31" ht="16.2" thickBot="1">
      <c r="L23" s="1568"/>
      <c r="M23" s="1568"/>
      <c r="N23" s="1568"/>
      <c r="O23" s="1568"/>
      <c r="P23" s="1568"/>
      <c r="Q23" s="1568"/>
      <c r="R23" s="1568"/>
      <c r="S23" s="1568"/>
      <c r="T23" s="1568"/>
      <c r="U23" s="1568"/>
      <c r="V23" s="1146"/>
      <c r="W23" s="42"/>
      <c r="X23" s="42"/>
      <c r="Y23" s="9"/>
      <c r="Z23" s="9"/>
      <c r="AA23" s="9"/>
      <c r="AB23" s="1568"/>
      <c r="AC23" s="1568"/>
      <c r="AD23" s="1568"/>
      <c r="AE23" s="1551"/>
    </row>
    <row r="24" spans="2:31" ht="15.6" thickTop="1" thickBot="1">
      <c r="L24" s="1568"/>
      <c r="M24" s="1568"/>
      <c r="N24" s="1568"/>
      <c r="O24" s="1568"/>
      <c r="P24" s="1568"/>
      <c r="Q24" s="1568"/>
      <c r="R24" s="1568"/>
      <c r="S24" s="1568"/>
      <c r="T24" s="1568"/>
      <c r="U24" s="1568"/>
      <c r="V24" s="1581"/>
      <c r="W24" s="44"/>
      <c r="X24" s="45"/>
      <c r="Y24" s="9"/>
      <c r="Z24" s="9"/>
      <c r="AA24" s="9"/>
      <c r="AB24" s="1568"/>
      <c r="AC24" s="1568"/>
      <c r="AD24" s="1568"/>
      <c r="AE24" s="1551"/>
    </row>
    <row r="25" spans="2:31" ht="15.6" thickTop="1" thickBot="1">
      <c r="L25" s="1568"/>
      <c r="M25" s="1568"/>
      <c r="N25" s="1568"/>
      <c r="O25" s="1568"/>
      <c r="P25" s="1568"/>
      <c r="Q25" s="1568"/>
      <c r="R25" s="1568"/>
      <c r="S25" s="1568"/>
      <c r="T25" s="1568"/>
      <c r="U25" s="1568"/>
      <c r="V25" s="1582"/>
      <c r="W25" s="44"/>
      <c r="X25" s="45"/>
      <c r="Y25" s="9"/>
      <c r="Z25" s="9"/>
      <c r="AA25" s="9"/>
      <c r="AB25" s="1568"/>
      <c r="AC25" s="1568"/>
      <c r="AD25" s="1568"/>
      <c r="AE25" s="1551"/>
    </row>
    <row r="26" spans="2:31" ht="15.6" thickTop="1" thickBot="1">
      <c r="L26" s="1568"/>
      <c r="M26" s="1568"/>
      <c r="N26" s="1568"/>
      <c r="O26" s="1568"/>
      <c r="P26" s="1568"/>
      <c r="Q26" s="1568"/>
      <c r="R26" s="1568"/>
      <c r="S26" s="1568"/>
      <c r="T26" s="1568"/>
      <c r="U26" s="1568"/>
      <c r="V26" s="1583"/>
      <c r="W26" s="44"/>
      <c r="X26" s="45"/>
      <c r="Y26" s="9"/>
      <c r="Z26" s="9"/>
      <c r="AA26" s="9"/>
      <c r="AB26" s="1568"/>
      <c r="AC26" s="1568"/>
      <c r="AD26" s="1568"/>
      <c r="AE26" s="1551"/>
    </row>
    <row r="27" spans="2:31" ht="15.6" thickTop="1" thickBot="1">
      <c r="L27" s="1568"/>
      <c r="M27" s="1568"/>
      <c r="N27" s="1568"/>
      <c r="O27" s="1568"/>
      <c r="P27" s="1568"/>
      <c r="Q27" s="1568"/>
      <c r="R27" s="1568"/>
      <c r="S27" s="1568"/>
      <c r="T27" s="1568"/>
      <c r="U27" s="1568"/>
      <c r="V27" s="1584"/>
      <c r="W27" s="44"/>
      <c r="X27" s="45"/>
      <c r="Y27" s="9"/>
      <c r="Z27" s="9"/>
      <c r="AA27" s="9"/>
      <c r="AB27" s="1568"/>
      <c r="AC27" s="1568"/>
      <c r="AD27" s="1568"/>
      <c r="AE27" s="1551"/>
    </row>
    <row r="28" spans="2:31" thickTop="1">
      <c r="L28" s="1568"/>
      <c r="M28" s="1568"/>
      <c r="N28" s="1568"/>
      <c r="O28" s="1568"/>
      <c r="P28" s="1568"/>
      <c r="Q28" s="1568"/>
      <c r="R28" s="1568"/>
      <c r="S28" s="1568"/>
      <c r="T28" s="1568"/>
      <c r="U28" s="1568"/>
      <c r="V28" s="1568"/>
      <c r="W28" s="1568"/>
      <c r="X28" s="1568"/>
      <c r="Y28" s="1568"/>
      <c r="Z28" s="1568"/>
      <c r="AA28" s="1568"/>
      <c r="AB28" s="1568"/>
      <c r="AC28" s="1568"/>
      <c r="AD28" s="1568"/>
      <c r="AE28" s="1551"/>
    </row>
    <row r="29" spans="2:31" ht="14.4">
      <c r="L29" s="1603"/>
      <c r="M29" s="1603"/>
      <c r="N29" s="1603"/>
      <c r="O29" s="1603"/>
      <c r="P29" s="1603"/>
      <c r="Q29" s="1603"/>
      <c r="R29" s="1603"/>
      <c r="S29" s="1603"/>
      <c r="T29" s="1603"/>
      <c r="U29" s="1603"/>
      <c r="V29" s="1603"/>
      <c r="W29" s="1603"/>
      <c r="X29" s="1603"/>
      <c r="Y29" s="1603"/>
      <c r="Z29" s="1603"/>
      <c r="AA29" s="1603"/>
      <c r="AB29" s="1603"/>
      <c r="AC29" s="1604"/>
      <c r="AD29" s="1605"/>
      <c r="AE29" s="1551"/>
    </row>
    <row r="30" spans="2:31" ht="14.4">
      <c r="L30" s="1568"/>
      <c r="M30" s="1568"/>
      <c r="N30" s="1568"/>
      <c r="O30" s="1568"/>
      <c r="P30" s="1568"/>
      <c r="Q30" s="1568"/>
      <c r="R30" s="1568"/>
      <c r="S30" s="1568"/>
      <c r="T30" s="1568"/>
      <c r="U30" s="1568"/>
      <c r="V30" s="1568"/>
      <c r="W30" s="1568"/>
      <c r="X30" s="1568"/>
      <c r="Y30" s="1568"/>
      <c r="Z30" s="1568"/>
      <c r="AA30" s="1568"/>
      <c r="AB30" s="1568"/>
      <c r="AC30" s="1568"/>
      <c r="AD30" s="1568"/>
      <c r="AE30" s="1551"/>
    </row>
    <row r="31" spans="2:31" ht="14.4" hidden="1"/>
    <row r="32" spans="2:31" ht="14.4" hidden="1"/>
    <row r="33" ht="14.4" hidden="1"/>
    <row r="34" ht="14.4" hidden="1"/>
    <row r="35" ht="14.4" hidden="1"/>
    <row r="36" ht="14.4" hidden="1"/>
    <row r="37" ht="14.4" hidden="1"/>
    <row r="38" ht="14.4" hidden="1"/>
    <row r="39" ht="14.4" hidden="1"/>
    <row r="40" ht="14.4" hidden="1"/>
    <row r="41" ht="14.4" hidden="1"/>
    <row r="42" ht="14.4" hidden="1"/>
    <row r="43" ht="14.4" hidden="1"/>
    <row r="44" ht="14.4" hidden="1"/>
    <row r="45" ht="14.4" hidden="1"/>
    <row r="46" ht="14.4" hidden="1"/>
    <row r="47" ht="14.4" hidden="1"/>
    <row r="48" ht="14.4" hidden="1"/>
    <row r="49" ht="14.4" hidden="1"/>
    <row r="50" ht="14.4" hidden="1"/>
    <row r="51" ht="14.4" hidden="1"/>
    <row r="52" ht="14.4" hidden="1"/>
    <row r="53" ht="14.4" hidden="1"/>
    <row r="54" ht="14.4" hidden="1"/>
    <row r="55" ht="14.4" hidden="1"/>
    <row r="56" ht="14.4" hidden="1"/>
    <row r="57" ht="14.4" hidden="1"/>
    <row r="58" ht="14.4" hidden="1"/>
    <row r="59" ht="14.4" hidden="1"/>
    <row r="60" ht="14.4" hidden="1"/>
    <row r="61" ht="14.4" hidden="1"/>
    <row r="62" ht="14.4" hidden="1"/>
    <row r="63" ht="14.4"/>
    <row r="64" ht="14.4"/>
    <row r="65" ht="14.4"/>
    <row r="66" ht="14.4"/>
    <row r="67" ht="14.4"/>
    <row r="68" ht="14.4"/>
    <row r="69" ht="14.4"/>
    <row r="70" ht="14.4"/>
    <row r="71" ht="14.4"/>
    <row r="72" ht="14.4"/>
    <row r="73" ht="14.4"/>
    <row r="74" ht="14.4"/>
    <row r="75" ht="14.4"/>
    <row r="76" ht="14.4"/>
  </sheetData>
  <sheetProtection algorithmName="SHA-512" hashValue="VlXS6is58AxX10C7+GEq5VTw4BozEP/gkojzRajS9kg0Lx2hO5KkIXBHXpKgcOS3++Qqi7WIq9Bu/FtVpm71gg==" saltValue="0L3u8L6Rh3s395rZBRIuHQ==" spinCount="100000" sheet="1" objects="1" scenarios="1" selectLockedCells="1"/>
  <mergeCells count="18">
    <mergeCell ref="L12:AC12"/>
    <mergeCell ref="B12:K12"/>
    <mergeCell ref="B11:K11"/>
    <mergeCell ref="L11:AC11"/>
    <mergeCell ref="L21:AE21"/>
    <mergeCell ref="B17:K17"/>
    <mergeCell ref="L17:AC17"/>
    <mergeCell ref="B13:K13"/>
    <mergeCell ref="L13:AC13"/>
    <mergeCell ref="L14:AC14"/>
    <mergeCell ref="B14:K16"/>
    <mergeCell ref="L15:AC15"/>
    <mergeCell ref="L16:AC16"/>
    <mergeCell ref="L29:AB29"/>
    <mergeCell ref="AC29:AD29"/>
    <mergeCell ref="L18:AE18"/>
    <mergeCell ref="L19:AE19"/>
    <mergeCell ref="L20:AE20"/>
  </mergeCells>
  <pageMargins left="0.511811024" right="0.511811024" top="0.78740157499999996" bottom="0.78740157499999996" header="0.31496062000000002" footer="0.31496062000000002"/>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3978"/>
  </sheetPr>
  <dimension ref="A1:EO56"/>
  <sheetViews>
    <sheetView showGridLines="0" workbookViewId="0">
      <selection activeCell="J11" sqref="J11"/>
    </sheetView>
  </sheetViews>
  <sheetFormatPr defaultColWidth="0" defaultRowHeight="14.4" zeroHeight="1"/>
  <cols>
    <col min="1" max="1" width="1.44140625" style="5" customWidth="1"/>
    <col min="2" max="2" width="3.33203125" style="5" customWidth="1"/>
    <col min="3" max="3" width="7" style="5" customWidth="1"/>
    <col min="4" max="4" width="19.6640625" style="5" customWidth="1"/>
    <col min="5" max="5" width="13.88671875" style="5" customWidth="1"/>
    <col min="6" max="6" width="14.6640625" style="5" customWidth="1"/>
    <col min="7" max="7" width="20.5546875" style="5" customWidth="1"/>
    <col min="8" max="8" width="16.6640625" style="5" customWidth="1"/>
    <col min="9" max="9" width="19.88671875" style="5" customWidth="1"/>
    <col min="10" max="10" width="14.6640625" style="5" customWidth="1"/>
    <col min="11" max="11" width="15.109375" style="5" customWidth="1"/>
    <col min="12" max="12" width="20.6640625" style="5" customWidth="1"/>
    <col min="13" max="13" width="13.44140625" style="5" customWidth="1"/>
    <col min="14" max="14" width="11" style="5" customWidth="1"/>
    <col min="15" max="15" width="5.109375" style="5" customWidth="1"/>
    <col min="16" max="145" width="0" style="5" hidden="1" customWidth="1"/>
    <col min="146" max="16384" width="8.88671875" style="5" hidden="1"/>
  </cols>
  <sheetData>
    <row r="1" spans="1:145">
      <c r="A1" s="7"/>
    </row>
    <row r="2" spans="1:145"/>
    <row r="3" spans="1:145"/>
    <row r="4" spans="1:145"/>
    <row r="5" spans="1:145"/>
    <row r="6" spans="1:145"/>
    <row r="7" spans="1:145" ht="15" thickBot="1"/>
    <row r="8" spans="1:145" s="431" customFormat="1" ht="18.600000000000001" thickTop="1">
      <c r="A8" s="964"/>
      <c r="B8" s="2095" t="s">
        <v>1073</v>
      </c>
      <c r="C8" s="2096"/>
      <c r="D8" s="2096"/>
      <c r="E8" s="2096"/>
      <c r="F8" s="2096"/>
      <c r="G8" s="2096"/>
      <c r="H8" s="2096"/>
      <c r="I8" s="2096"/>
      <c r="J8" s="2096"/>
      <c r="K8" s="2096"/>
      <c r="L8" s="2096"/>
      <c r="M8" s="2096"/>
      <c r="N8" s="2097"/>
      <c r="O8" s="965"/>
      <c r="P8" s="427"/>
      <c r="Q8" s="427"/>
      <c r="R8" s="427"/>
      <c r="S8" s="429"/>
      <c r="T8" s="429"/>
      <c r="U8" s="429"/>
      <c r="V8" s="429"/>
      <c r="W8" s="429"/>
      <c r="X8" s="429"/>
      <c r="Y8" s="429"/>
      <c r="Z8" s="429"/>
      <c r="AA8" s="429"/>
      <c r="AB8" s="429"/>
      <c r="AC8" s="430"/>
      <c r="AD8" s="429"/>
      <c r="AE8" s="429"/>
      <c r="AF8" s="429"/>
      <c r="AG8" s="429"/>
      <c r="AH8" s="429"/>
      <c r="AI8" s="429"/>
      <c r="AJ8" s="429"/>
      <c r="AK8" s="429"/>
      <c r="AL8" s="429"/>
      <c r="AM8" s="429"/>
      <c r="AN8" s="429"/>
      <c r="AO8" s="429"/>
      <c r="AP8" s="429"/>
      <c r="AQ8" s="429"/>
      <c r="AR8" s="429"/>
      <c r="AS8" s="429"/>
      <c r="AT8" s="429"/>
      <c r="AU8" s="429"/>
      <c r="AV8" s="429"/>
      <c r="AW8" s="429"/>
      <c r="AX8" s="429"/>
      <c r="AY8" s="429"/>
      <c r="AZ8" s="429"/>
      <c r="BA8" s="429"/>
      <c r="BB8" s="429"/>
      <c r="BC8" s="429"/>
      <c r="BD8" s="429"/>
      <c r="BE8" s="429"/>
      <c r="BF8" s="429"/>
      <c r="BG8" s="429"/>
      <c r="BH8" s="429"/>
      <c r="BI8" s="429"/>
      <c r="BJ8" s="429"/>
      <c r="BK8" s="429"/>
      <c r="BL8" s="429"/>
      <c r="BM8" s="429"/>
      <c r="BN8" s="429"/>
      <c r="BO8" s="429"/>
      <c r="BP8" s="429"/>
      <c r="BQ8" s="429"/>
      <c r="BR8" s="429"/>
      <c r="BS8" s="429"/>
      <c r="BT8" s="429"/>
      <c r="BU8" s="429"/>
      <c r="BV8" s="429"/>
      <c r="BW8" s="429"/>
      <c r="BX8" s="429"/>
      <c r="BY8" s="429"/>
      <c r="BZ8" s="429"/>
      <c r="CA8" s="429"/>
      <c r="CB8" s="429"/>
      <c r="CC8" s="429"/>
      <c r="CD8" s="429"/>
      <c r="CE8" s="429"/>
      <c r="CF8" s="429"/>
      <c r="CG8" s="429"/>
      <c r="CH8" s="429"/>
      <c r="CI8" s="429"/>
      <c r="CJ8" s="429"/>
      <c r="CK8" s="429"/>
      <c r="CL8" s="429"/>
      <c r="CM8" s="429"/>
      <c r="CN8" s="429"/>
      <c r="CO8" s="429"/>
      <c r="CP8" s="429"/>
      <c r="CQ8" s="429"/>
      <c r="CR8" s="429"/>
      <c r="CS8" s="429"/>
      <c r="CT8" s="429"/>
      <c r="CU8" s="429"/>
      <c r="CV8" s="429"/>
      <c r="CW8" s="429"/>
      <c r="CX8" s="429"/>
      <c r="CY8" s="429"/>
      <c r="CZ8" s="429"/>
      <c r="DA8" s="429"/>
      <c r="DB8" s="429"/>
      <c r="DC8" s="429"/>
      <c r="DD8" s="429"/>
      <c r="DE8" s="429"/>
      <c r="DF8" s="429"/>
      <c r="DG8" s="429"/>
      <c r="DH8" s="429"/>
      <c r="DI8" s="429"/>
      <c r="DJ8" s="429"/>
      <c r="DK8" s="429"/>
      <c r="DL8" s="429"/>
      <c r="DM8" s="429"/>
      <c r="DN8" s="429"/>
      <c r="DO8" s="429"/>
      <c r="DP8" s="429"/>
      <c r="DQ8" s="429"/>
      <c r="DR8" s="429"/>
      <c r="DS8" s="429"/>
      <c r="DT8" s="429"/>
      <c r="DU8" s="429"/>
      <c r="DV8" s="429"/>
      <c r="DW8" s="429"/>
      <c r="DX8" s="429"/>
      <c r="DY8" s="429"/>
      <c r="DZ8" s="429"/>
      <c r="EA8" s="429"/>
      <c r="EB8" s="429"/>
      <c r="EC8" s="429"/>
      <c r="ED8" s="429"/>
      <c r="EE8" s="429"/>
      <c r="EF8" s="429"/>
      <c r="EG8" s="429"/>
      <c r="EH8" s="429"/>
      <c r="EI8" s="429"/>
      <c r="EJ8" s="429"/>
      <c r="EK8" s="429"/>
      <c r="EL8" s="429"/>
      <c r="EM8" s="429"/>
      <c r="EN8" s="429"/>
      <c r="EO8" s="429"/>
    </row>
    <row r="9" spans="1:145" s="429" customFormat="1" ht="18">
      <c r="A9" s="966"/>
      <c r="B9" s="967"/>
      <c r="C9" s="968"/>
      <c r="D9" s="968"/>
      <c r="E9" s="968"/>
      <c r="F9" s="968"/>
      <c r="G9" s="968"/>
      <c r="H9" s="968"/>
      <c r="I9" s="968"/>
      <c r="J9" s="968"/>
      <c r="K9" s="968"/>
      <c r="L9" s="968"/>
      <c r="M9" s="968"/>
      <c r="N9" s="969"/>
      <c r="O9" s="966"/>
      <c r="P9" s="427"/>
      <c r="Q9" s="427"/>
      <c r="R9" s="427"/>
      <c r="AC9" s="430"/>
    </row>
    <row r="10" spans="1:145" s="429" customFormat="1" ht="18">
      <c r="A10" s="966"/>
      <c r="B10" s="967"/>
      <c r="C10" s="968"/>
      <c r="D10" s="968"/>
      <c r="E10" s="968"/>
      <c r="F10" s="968"/>
      <c r="G10" s="968"/>
      <c r="H10" s="968"/>
      <c r="I10" s="968"/>
      <c r="J10" s="968"/>
      <c r="K10" s="968"/>
      <c r="L10" s="968"/>
      <c r="M10" s="968"/>
      <c r="N10" s="969"/>
      <c r="O10" s="966"/>
      <c r="P10" s="427"/>
      <c r="Q10" s="427"/>
      <c r="R10" s="427"/>
      <c r="AC10" s="430"/>
    </row>
    <row r="11" spans="1:145" s="134" customFormat="1" ht="18">
      <c r="B11" s="128"/>
      <c r="C11" s="112"/>
      <c r="D11" s="112"/>
      <c r="E11" s="112"/>
      <c r="F11" s="112"/>
      <c r="G11" s="112"/>
      <c r="H11" s="112"/>
      <c r="I11" s="112"/>
      <c r="J11" s="112"/>
      <c r="K11" s="130"/>
      <c r="L11" s="131"/>
      <c r="M11" s="131"/>
      <c r="N11" s="132"/>
    </row>
    <row r="12" spans="1:145" s="134" customFormat="1" ht="15.6">
      <c r="A12" s="135"/>
      <c r="B12" s="1741" t="s">
        <v>488</v>
      </c>
      <c r="C12" s="1742"/>
      <c r="D12" s="1742"/>
      <c r="E12" s="1742"/>
      <c r="F12" s="1742"/>
      <c r="G12" s="1742"/>
      <c r="H12" s="1742"/>
      <c r="I12" s="1742"/>
      <c r="J12" s="1742"/>
      <c r="K12" s="1742"/>
      <c r="L12" s="1742"/>
      <c r="M12" s="1742"/>
      <c r="N12" s="1743"/>
    </row>
    <row r="13" spans="1:145" s="134" customFormat="1" ht="16.2" thickBot="1">
      <c r="A13" s="112"/>
      <c r="B13" s="970"/>
      <c r="C13" s="971"/>
      <c r="D13" s="971"/>
      <c r="E13" s="971"/>
      <c r="F13" s="971"/>
      <c r="G13" s="971"/>
      <c r="H13" s="971"/>
      <c r="I13" s="971"/>
      <c r="J13" s="971"/>
      <c r="K13" s="971"/>
      <c r="L13" s="971"/>
      <c r="M13" s="971"/>
      <c r="N13" s="972"/>
    </row>
    <row r="14" spans="1:145" s="134" customFormat="1">
      <c r="B14" s="128"/>
      <c r="C14" s="112"/>
      <c r="D14" s="1091" t="s">
        <v>499</v>
      </c>
      <c r="E14" s="61"/>
      <c r="F14" s="61"/>
      <c r="G14" s="61"/>
      <c r="H14" s="61"/>
      <c r="I14" s="61"/>
      <c r="J14" s="1098" t="s">
        <v>492</v>
      </c>
      <c r="K14" s="1098" t="s">
        <v>24</v>
      </c>
      <c r="L14" s="1099" t="s">
        <v>501</v>
      </c>
      <c r="M14" s="112"/>
      <c r="N14" s="135"/>
      <c r="O14" s="377" t="s">
        <v>1675</v>
      </c>
    </row>
    <row r="15" spans="1:145" s="134" customFormat="1">
      <c r="B15" s="128"/>
      <c r="C15" s="112"/>
      <c r="D15" s="150" t="s">
        <v>1485</v>
      </c>
      <c r="E15" s="112"/>
      <c r="F15" s="112"/>
      <c r="G15" s="112"/>
      <c r="H15" s="112"/>
      <c r="I15" s="112"/>
      <c r="J15" s="973"/>
      <c r="K15" s="974" t="s">
        <v>1150</v>
      </c>
      <c r="L15" s="975"/>
      <c r="M15" s="112"/>
      <c r="N15" s="135"/>
      <c r="O15" s="377" t="s">
        <v>1674</v>
      </c>
    </row>
    <row r="16" spans="1:145" s="134" customFormat="1">
      <c r="B16" s="128"/>
      <c r="C16" s="112"/>
      <c r="D16" s="274" t="s">
        <v>1486</v>
      </c>
      <c r="E16" s="112"/>
      <c r="F16" s="112"/>
      <c r="G16" s="112"/>
      <c r="H16" s="112"/>
      <c r="I16" s="112"/>
      <c r="J16" s="976"/>
      <c r="K16" s="974" t="s">
        <v>1675</v>
      </c>
      <c r="L16" s="977">
        <v>2016</v>
      </c>
      <c r="M16" s="112"/>
      <c r="N16" s="135"/>
      <c r="O16" s="377" t="s">
        <v>1673</v>
      </c>
    </row>
    <row r="17" spans="1:15" s="134" customFormat="1">
      <c r="B17" s="128"/>
      <c r="C17" s="112"/>
      <c r="D17" s="1694" t="s">
        <v>1</v>
      </c>
      <c r="E17" s="1695"/>
      <c r="F17" s="1695"/>
      <c r="G17" s="1695"/>
      <c r="H17" s="1695"/>
      <c r="I17" s="1695"/>
      <c r="J17" s="1695"/>
      <c r="K17" s="280"/>
      <c r="L17" s="281"/>
      <c r="M17" s="112"/>
      <c r="N17" s="135"/>
      <c r="O17" s="377" t="s">
        <v>1676</v>
      </c>
    </row>
    <row r="18" spans="1:15" s="134" customFormat="1" ht="15.6">
      <c r="B18" s="128"/>
      <c r="C18" s="112"/>
      <c r="D18" s="150" t="s">
        <v>1487</v>
      </c>
      <c r="E18" s="112"/>
      <c r="F18" s="112"/>
      <c r="G18" s="112"/>
      <c r="H18" s="112"/>
      <c r="I18" s="112"/>
      <c r="J18" s="978"/>
      <c r="K18" s="979" t="s">
        <v>1051</v>
      </c>
      <c r="L18" s="975"/>
      <c r="M18" s="112"/>
      <c r="N18" s="135"/>
    </row>
    <row r="19" spans="1:15" s="134" customFormat="1" ht="15.6">
      <c r="B19" s="128"/>
      <c r="C19" s="112"/>
      <c r="D19" s="2098" t="s">
        <v>1488</v>
      </c>
      <c r="E19" s="2099"/>
      <c r="F19" s="2099"/>
      <c r="G19" s="2099"/>
      <c r="H19" s="2099"/>
      <c r="I19" s="2099"/>
      <c r="J19" s="978"/>
      <c r="K19" s="980" t="s">
        <v>1051</v>
      </c>
      <c r="L19" s="981"/>
      <c r="M19" s="112"/>
      <c r="N19" s="135"/>
    </row>
    <row r="20" spans="1:15" s="134" customFormat="1">
      <c r="B20" s="128"/>
      <c r="C20" s="112"/>
      <c r="D20" s="150" t="s">
        <v>1489</v>
      </c>
      <c r="E20" s="112"/>
      <c r="F20" s="112"/>
      <c r="G20" s="112"/>
      <c r="H20" s="112"/>
      <c r="I20" s="112"/>
      <c r="J20" s="978"/>
      <c r="K20" s="267" t="s">
        <v>13</v>
      </c>
      <c r="L20" s="975"/>
      <c r="M20" s="112"/>
      <c r="N20" s="135"/>
    </row>
    <row r="21" spans="1:15" s="134" customFormat="1" ht="15.6">
      <c r="B21" s="128"/>
      <c r="C21" s="112"/>
      <c r="D21" s="150" t="s">
        <v>1490</v>
      </c>
      <c r="E21" s="112"/>
      <c r="F21" s="112"/>
      <c r="G21" s="112"/>
      <c r="H21" s="112"/>
      <c r="I21" s="112"/>
      <c r="J21" s="978"/>
      <c r="K21" s="767" t="s">
        <v>1099</v>
      </c>
      <c r="L21" s="975"/>
      <c r="M21" s="112"/>
      <c r="N21" s="135"/>
    </row>
    <row r="22" spans="1:15" s="134" customFormat="1" ht="15.6">
      <c r="B22" s="128"/>
      <c r="C22" s="112"/>
      <c r="D22" s="150" t="s">
        <v>1491</v>
      </c>
      <c r="E22" s="112"/>
      <c r="F22" s="112"/>
      <c r="G22" s="112"/>
      <c r="H22" s="112"/>
      <c r="I22" s="112"/>
      <c r="J22" s="978"/>
      <c r="K22" s="267" t="s">
        <v>13</v>
      </c>
      <c r="L22" s="975"/>
      <c r="M22" s="112"/>
      <c r="N22" s="135"/>
    </row>
    <row r="23" spans="1:15" s="134" customFormat="1">
      <c r="B23" s="128"/>
      <c r="C23" s="112"/>
      <c r="D23" s="1694" t="s">
        <v>2</v>
      </c>
      <c r="E23" s="1695"/>
      <c r="F23" s="1695"/>
      <c r="G23" s="1695"/>
      <c r="H23" s="1695"/>
      <c r="I23" s="1695"/>
      <c r="J23" s="1695"/>
      <c r="K23" s="267"/>
      <c r="L23" s="281"/>
      <c r="M23" s="112"/>
      <c r="N23" s="135"/>
    </row>
    <row r="24" spans="1:15" s="134" customFormat="1" ht="15.6">
      <c r="A24" s="112"/>
      <c r="B24" s="128"/>
      <c r="C24" s="112"/>
      <c r="D24" s="150" t="s">
        <v>1492</v>
      </c>
      <c r="E24" s="112"/>
      <c r="F24" s="112"/>
      <c r="G24" s="112"/>
      <c r="H24" s="112"/>
      <c r="I24" s="112"/>
      <c r="J24" s="1528"/>
      <c r="K24" s="267" t="s">
        <v>13</v>
      </c>
      <c r="L24" s="975"/>
      <c r="M24" s="112"/>
      <c r="N24" s="135"/>
    </row>
    <row r="25" spans="1:15" ht="15.6">
      <c r="B25" s="6"/>
      <c r="C25" s="7"/>
      <c r="D25" s="150" t="s">
        <v>1493</v>
      </c>
      <c r="E25" s="112"/>
      <c r="F25" s="112"/>
      <c r="G25" s="112"/>
      <c r="H25" s="112"/>
      <c r="I25" s="112"/>
      <c r="J25" s="978"/>
      <c r="K25" s="267" t="s">
        <v>13</v>
      </c>
      <c r="L25" s="975"/>
      <c r="M25" s="7"/>
      <c r="N25" s="8"/>
    </row>
    <row r="26" spans="1:15" ht="15" thickBot="1">
      <c r="B26" s="6"/>
      <c r="C26" s="7"/>
      <c r="D26" s="293"/>
      <c r="E26" s="261"/>
      <c r="F26" s="261"/>
      <c r="G26" s="261"/>
      <c r="H26" s="261"/>
      <c r="I26" s="982" t="s">
        <v>1232</v>
      </c>
      <c r="J26" s="983"/>
      <c r="K26" s="984" t="s">
        <v>13</v>
      </c>
      <c r="L26" s="985" t="s">
        <v>1231</v>
      </c>
      <c r="M26" s="7"/>
      <c r="N26" s="8"/>
    </row>
    <row r="27" spans="1:15">
      <c r="B27" s="6"/>
      <c r="C27" s="7"/>
      <c r="D27" s="7"/>
      <c r="E27" s="7"/>
      <c r="F27" s="7"/>
      <c r="G27" s="7"/>
      <c r="H27" s="7"/>
      <c r="I27" s="7"/>
      <c r="J27" s="7"/>
      <c r="K27" s="7"/>
      <c r="L27" s="7"/>
      <c r="M27" s="7"/>
      <c r="N27" s="8"/>
    </row>
    <row r="28" spans="1:15">
      <c r="B28" s="6"/>
      <c r="C28" s="7"/>
      <c r="D28" s="7"/>
      <c r="E28" s="7"/>
      <c r="F28" s="7"/>
      <c r="G28" s="7"/>
      <c r="H28" s="7"/>
      <c r="I28" s="7"/>
      <c r="J28" s="7"/>
      <c r="K28" s="7"/>
      <c r="L28" s="7"/>
      <c r="M28" s="7"/>
      <c r="N28" s="8"/>
    </row>
    <row r="29" spans="1:15" s="134" customFormat="1" ht="15.6">
      <c r="A29" s="135"/>
      <c r="B29" s="1736" t="s">
        <v>490</v>
      </c>
      <c r="C29" s="1737"/>
      <c r="D29" s="1737"/>
      <c r="E29" s="1737"/>
      <c r="F29" s="1737"/>
      <c r="G29" s="1737"/>
      <c r="H29" s="1737"/>
      <c r="I29" s="1737"/>
      <c r="J29" s="1737"/>
      <c r="K29" s="1737"/>
      <c r="L29" s="1737"/>
      <c r="M29" s="1737"/>
      <c r="N29" s="1738"/>
    </row>
    <row r="30" spans="1:15" s="134" customFormat="1" ht="18">
      <c r="B30" s="986"/>
      <c r="C30" s="987"/>
      <c r="D30" s="987"/>
      <c r="E30" s="987"/>
      <c r="F30" s="987"/>
      <c r="G30" s="987"/>
      <c r="H30" s="987"/>
      <c r="I30" s="987"/>
      <c r="J30" s="987"/>
      <c r="K30" s="987"/>
      <c r="L30" s="987"/>
      <c r="M30" s="987"/>
      <c r="N30" s="988"/>
    </row>
    <row r="31" spans="1:15" s="989" customFormat="1" ht="16.2" thickBot="1">
      <c r="B31" s="990"/>
      <c r="C31" s="991"/>
      <c r="D31" s="1670" t="s">
        <v>1</v>
      </c>
      <c r="E31" s="1670"/>
      <c r="F31" s="1670"/>
      <c r="G31" s="991"/>
      <c r="H31" s="991"/>
      <c r="I31" s="992" t="s">
        <v>2</v>
      </c>
      <c r="J31" s="992"/>
      <c r="K31" s="992"/>
      <c r="L31" s="993"/>
      <c r="M31" s="991"/>
      <c r="N31" s="994"/>
    </row>
    <row r="32" spans="1:15" s="989" customFormat="1" ht="18">
      <c r="B32" s="990"/>
      <c r="C32" s="991"/>
      <c r="D32" s="1241" t="s">
        <v>1518</v>
      </c>
      <c r="E32" s="1288"/>
      <c r="F32" s="1289" t="str">
        <f>IF(J18="","",J18-J19)</f>
        <v/>
      </c>
      <c r="G32" s="1252" t="s">
        <v>521</v>
      </c>
      <c r="H32" s="991"/>
      <c r="I32" s="995" t="s">
        <v>1151</v>
      </c>
      <c r="J32" s="996"/>
      <c r="K32" s="997" t="str">
        <f>IFERROR(J15/J16,"")</f>
        <v/>
      </c>
      <c r="L32" s="445" t="str">
        <f>IF(K16="dia","visitante/dia",IF(K16="mês","visitantes/mês",IF(K16="ano","visitantes/ano","")))</f>
        <v/>
      </c>
      <c r="M32" s="991"/>
      <c r="N32" s="994"/>
    </row>
    <row r="33" spans="1:15" s="989" customFormat="1" ht="16.2" thickBot="1">
      <c r="B33" s="990"/>
      <c r="C33" s="991"/>
      <c r="D33" s="1290" t="s">
        <v>1151</v>
      </c>
      <c r="E33" s="1291"/>
      <c r="F33" s="1292" t="str">
        <f>IFERROR(J15/J16,"")</f>
        <v/>
      </c>
      <c r="G33" s="1293" t="str">
        <f>IF(K16="dia","visitante/dia",IF(K16="mês","visitantes/mês",IF(K16="ano","visitantes/ano","")))</f>
        <v/>
      </c>
      <c r="H33" s="991"/>
      <c r="I33" s="998" t="s">
        <v>493</v>
      </c>
      <c r="J33" s="2094" t="str">
        <f>IFERROR(K32*(J24+J25+J26),"")</f>
        <v/>
      </c>
      <c r="K33" s="2094"/>
      <c r="L33" s="448" t="s">
        <v>13</v>
      </c>
      <c r="M33" s="991"/>
      <c r="N33" s="994"/>
    </row>
    <row r="34" spans="1:15" s="989" customFormat="1" ht="15.6">
      <c r="B34" s="990"/>
      <c r="C34" s="991"/>
      <c r="D34" s="1290" t="s">
        <v>1103</v>
      </c>
      <c r="E34" s="2092" t="str">
        <f>IFERROR(F33*J22+J20,"")</f>
        <v/>
      </c>
      <c r="F34" s="2092"/>
      <c r="G34" s="1294" t="s">
        <v>13</v>
      </c>
      <c r="H34" s="991"/>
      <c r="I34" s="991"/>
      <c r="J34" s="993"/>
      <c r="K34" s="993"/>
      <c r="L34" s="991"/>
      <c r="M34" s="991"/>
      <c r="N34" s="994"/>
    </row>
    <row r="35" spans="1:15" s="989" customFormat="1" ht="16.2" thickBot="1">
      <c r="B35" s="990"/>
      <c r="C35" s="991"/>
      <c r="D35" s="1295" t="s">
        <v>1104</v>
      </c>
      <c r="E35" s="2093" t="str">
        <f>IFERROR(-(F32*J21),"")</f>
        <v/>
      </c>
      <c r="F35" s="2093"/>
      <c r="G35" s="1296" t="s">
        <v>13</v>
      </c>
      <c r="H35" s="999"/>
      <c r="I35" s="991"/>
      <c r="J35" s="991"/>
      <c r="K35" s="991"/>
      <c r="L35" s="991"/>
      <c r="M35" s="991"/>
      <c r="N35" s="994"/>
    </row>
    <row r="36" spans="1:15" s="989" customFormat="1" ht="15.6">
      <c r="B36" s="1000"/>
      <c r="C36" s="993"/>
      <c r="D36" s="993"/>
      <c r="E36" s="993"/>
      <c r="F36" s="993"/>
      <c r="G36" s="1001"/>
      <c r="H36" s="993"/>
      <c r="I36" s="993"/>
      <c r="J36" s="993"/>
      <c r="K36" s="993"/>
      <c r="L36" s="993"/>
      <c r="M36" s="993"/>
      <c r="N36" s="1002"/>
    </row>
    <row r="37" spans="1:15" s="989" customFormat="1" ht="15.6">
      <c r="B37" s="1000"/>
      <c r="C37" s="993"/>
      <c r="D37" s="993"/>
      <c r="E37" s="993"/>
      <c r="F37" s="993"/>
      <c r="G37" s="993"/>
      <c r="H37" s="993"/>
      <c r="I37" s="993"/>
      <c r="J37" s="993"/>
      <c r="K37" s="993"/>
      <c r="L37" s="993"/>
      <c r="M37" s="993"/>
      <c r="N37" s="1002"/>
    </row>
    <row r="38" spans="1:15" s="989" customFormat="1" ht="15.6">
      <c r="A38" s="1002"/>
      <c r="B38" s="1741" t="s">
        <v>1296</v>
      </c>
      <c r="C38" s="1742"/>
      <c r="D38" s="1742"/>
      <c r="E38" s="1742"/>
      <c r="F38" s="1742"/>
      <c r="G38" s="1742"/>
      <c r="H38" s="1742"/>
      <c r="I38" s="1742"/>
      <c r="J38" s="1742"/>
      <c r="K38" s="1742"/>
      <c r="L38" s="1742"/>
      <c r="M38" s="1742"/>
      <c r="N38" s="1743"/>
    </row>
    <row r="39" spans="1:15" s="989" customFormat="1" ht="15.6">
      <c r="B39" s="1003"/>
      <c r="C39" s="1004"/>
      <c r="D39" s="1005"/>
      <c r="E39" s="1004"/>
      <c r="F39" s="1004"/>
      <c r="G39" s="897"/>
      <c r="H39" s="897"/>
      <c r="I39" s="897"/>
      <c r="J39" s="311"/>
      <c r="K39" s="311"/>
      <c r="L39" s="1004"/>
      <c r="M39" s="1004"/>
      <c r="N39" s="1006"/>
    </row>
    <row r="40" spans="1:15" s="1009" customFormat="1" ht="15.6">
      <c r="B40" s="1007"/>
      <c r="C40" s="1008"/>
      <c r="D40" s="7" t="s">
        <v>1152</v>
      </c>
      <c r="E40" s="1008"/>
      <c r="G40" s="20"/>
      <c r="H40" s="20"/>
      <c r="I40" s="20"/>
      <c r="J40" s="331"/>
      <c r="K40" s="331"/>
      <c r="L40" s="1008"/>
      <c r="M40" s="1008"/>
      <c r="N40" s="1010"/>
      <c r="O40" s="1008"/>
    </row>
    <row r="41" spans="1:15" s="14" customFormat="1" ht="15.75" customHeight="1">
      <c r="B41" s="50"/>
      <c r="C41" s="20"/>
      <c r="D41" s="2106" t="s">
        <v>1162</v>
      </c>
      <c r="E41" s="2107"/>
      <c r="F41" s="2109" t="s">
        <v>1</v>
      </c>
      <c r="G41" s="2110"/>
      <c r="H41" s="2110"/>
      <c r="I41" s="2111"/>
      <c r="J41" s="2102" t="s">
        <v>2</v>
      </c>
      <c r="K41" s="2103"/>
      <c r="M41" s="20"/>
      <c r="N41" s="450"/>
    </row>
    <row r="42" spans="1:15" s="14" customFormat="1" ht="15.75" customHeight="1">
      <c r="B42" s="50"/>
      <c r="C42" s="20"/>
      <c r="D42" s="2108"/>
      <c r="E42" s="1735"/>
      <c r="F42" s="1247" t="s">
        <v>1518</v>
      </c>
      <c r="G42" s="1297" t="s">
        <v>1151</v>
      </c>
      <c r="H42" s="1298" t="s">
        <v>1163</v>
      </c>
      <c r="I42" s="1298" t="s">
        <v>1161</v>
      </c>
      <c r="J42" s="1011" t="s">
        <v>1151</v>
      </c>
      <c r="K42" s="1011" t="s">
        <v>1157</v>
      </c>
      <c r="M42" s="20"/>
      <c r="N42" s="450"/>
    </row>
    <row r="43" spans="1:15" s="14" customFormat="1" ht="15" customHeight="1">
      <c r="B43" s="50"/>
      <c r="C43" s="20"/>
      <c r="D43" s="2104"/>
      <c r="E43" s="2105"/>
      <c r="F43" s="1012"/>
      <c r="G43" s="1013"/>
      <c r="H43" s="1014"/>
      <c r="I43" s="1014"/>
      <c r="J43" s="1015"/>
      <c r="K43" s="1015"/>
      <c r="M43" s="20"/>
      <c r="N43" s="450"/>
    </row>
    <row r="44" spans="1:15" s="14" customFormat="1" ht="15" customHeight="1">
      <c r="B44" s="50"/>
      <c r="C44" s="20"/>
      <c r="D44" s="2104"/>
      <c r="E44" s="2105"/>
      <c r="F44" s="1012"/>
      <c r="G44" s="1015"/>
      <c r="H44" s="1016"/>
      <c r="I44" s="1016"/>
      <c r="J44" s="1013"/>
      <c r="K44" s="1015"/>
      <c r="M44" s="20"/>
      <c r="N44" s="450"/>
    </row>
    <row r="45" spans="1:15" s="14" customFormat="1" ht="15" customHeight="1">
      <c r="B45" s="50"/>
      <c r="C45" s="20"/>
      <c r="D45" s="2104"/>
      <c r="E45" s="2105"/>
      <c r="F45" s="1015"/>
      <c r="G45" s="1015"/>
      <c r="H45" s="1016"/>
      <c r="I45" s="1016"/>
      <c r="J45" s="1013"/>
      <c r="K45" s="1015"/>
      <c r="M45" s="20"/>
      <c r="N45" s="450"/>
    </row>
    <row r="46" spans="1:15" s="14" customFormat="1" ht="15" customHeight="1">
      <c r="B46" s="50"/>
      <c r="C46" s="20"/>
      <c r="D46" s="2100"/>
      <c r="E46" s="2101"/>
      <c r="F46" s="1017"/>
      <c r="G46" s="1017"/>
      <c r="H46" s="1018"/>
      <c r="I46" s="1018"/>
      <c r="J46" s="1019"/>
      <c r="K46" s="1017"/>
      <c r="M46" s="20"/>
      <c r="N46" s="450"/>
    </row>
    <row r="47" spans="1:15" s="14" customFormat="1">
      <c r="B47" s="50"/>
      <c r="C47" s="20"/>
      <c r="D47" s="2100"/>
      <c r="E47" s="2101"/>
      <c r="F47" s="1017"/>
      <c r="G47" s="1017"/>
      <c r="H47" s="1018"/>
      <c r="I47" s="1018"/>
      <c r="J47" s="1017"/>
      <c r="K47" s="1017"/>
      <c r="M47" s="20"/>
      <c r="N47" s="450"/>
    </row>
    <row r="48" spans="1:15" s="14" customFormat="1" ht="15" thickBot="1">
      <c r="B48" s="50"/>
      <c r="C48" s="20"/>
      <c r="D48" s="2100"/>
      <c r="E48" s="2101"/>
      <c r="F48" s="1017"/>
      <c r="G48" s="1017"/>
      <c r="H48" s="1018"/>
      <c r="I48" s="1018"/>
      <c r="J48" s="1017"/>
      <c r="K48" s="1017"/>
      <c r="M48" s="20"/>
      <c r="N48" s="450"/>
    </row>
    <row r="49" spans="2:14" s="14" customFormat="1" ht="16.2" thickBot="1">
      <c r="B49" s="50"/>
      <c r="C49" s="20"/>
      <c r="D49" s="20"/>
      <c r="E49" s="20"/>
      <c r="F49" s="20"/>
      <c r="G49" s="20"/>
      <c r="H49" s="1299">
        <f>SUM(H43:H48)</f>
        <v>0</v>
      </c>
      <c r="I49" s="1300">
        <f>SUM(I43:I48)</f>
        <v>0</v>
      </c>
      <c r="J49" s="20"/>
      <c r="K49" s="1020">
        <f>SUM(J45:K46)</f>
        <v>0</v>
      </c>
      <c r="L49" s="20"/>
      <c r="M49" s="20"/>
      <c r="N49" s="450"/>
    </row>
    <row r="50" spans="2:14" ht="15" thickBot="1">
      <c r="B50" s="127"/>
      <c r="C50" s="35"/>
      <c r="D50" s="35"/>
      <c r="E50" s="35"/>
      <c r="F50" s="35"/>
      <c r="G50" s="35"/>
      <c r="H50" s="35"/>
      <c r="I50" s="35"/>
      <c r="J50" s="35"/>
      <c r="K50" s="35"/>
      <c r="L50" s="35"/>
      <c r="M50" s="35"/>
      <c r="N50" s="36"/>
    </row>
    <row r="51" spans="2:14" ht="15" thickTop="1"/>
    <row r="52" spans="2:14"/>
    <row r="53" spans="2:14"/>
    <row r="54" spans="2:14"/>
    <row r="55" spans="2:14"/>
    <row r="56" spans="2:14"/>
  </sheetData>
  <sheetProtection insertRows="0"/>
  <mergeCells count="20">
    <mergeCell ref="D48:E48"/>
    <mergeCell ref="J41:K41"/>
    <mergeCell ref="D43:E43"/>
    <mergeCell ref="D44:E44"/>
    <mergeCell ref="D45:E45"/>
    <mergeCell ref="D46:E46"/>
    <mergeCell ref="D47:E47"/>
    <mergeCell ref="D41:E42"/>
    <mergeCell ref="F41:I41"/>
    <mergeCell ref="B8:N8"/>
    <mergeCell ref="B12:N12"/>
    <mergeCell ref="D19:I19"/>
    <mergeCell ref="B29:N29"/>
    <mergeCell ref="D17:J17"/>
    <mergeCell ref="D23:J23"/>
    <mergeCell ref="B38:N38"/>
    <mergeCell ref="D31:F31"/>
    <mergeCell ref="E34:F34"/>
    <mergeCell ref="E35:F35"/>
    <mergeCell ref="J33:K33"/>
  </mergeCells>
  <dataValidations count="2">
    <dataValidation allowBlank="1" showErrorMessage="1" prompt="Inserir unidade" sqref="K20 K25:K26 K22" xr:uid="{00000000-0002-0000-1300-000000000000}"/>
    <dataValidation type="list" allowBlank="1" showInputMessage="1" showErrorMessage="1" sqref="K16" xr:uid="{00000000-0002-0000-1300-000001000000}">
      <formula1>$O$14:$O$17</formula1>
    </dataValidation>
  </dataValidations>
  <pageMargins left="0.511811024" right="0.511811024" top="0.78740157499999996" bottom="0.78740157499999996" header="0.31496062000000002" footer="0.31496062000000002"/>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6882E"/>
  </sheetPr>
  <dimension ref="A7:BW41"/>
  <sheetViews>
    <sheetView showGridLines="0" zoomScale="90" zoomScaleNormal="90" workbookViewId="0"/>
  </sheetViews>
  <sheetFormatPr defaultColWidth="8.88671875" defaultRowHeight="14.4"/>
  <cols>
    <col min="1" max="1" width="1.5546875" style="5" customWidth="1"/>
    <col min="2" max="2" width="6.44140625" style="5" customWidth="1"/>
    <col min="3" max="3" width="12.109375" style="5" customWidth="1"/>
    <col min="4" max="4" width="14.44140625" style="5" customWidth="1"/>
    <col min="5" max="5" width="13" style="5" customWidth="1"/>
    <col min="6" max="6" width="10.88671875" style="5" customWidth="1"/>
    <col min="7" max="7" width="8.88671875" style="5" customWidth="1"/>
    <col min="8" max="8" width="8" style="5" customWidth="1"/>
    <col min="9" max="9" width="9.88671875" style="5" customWidth="1"/>
    <col min="10" max="10" width="8.88671875" style="5"/>
    <col min="11" max="11" width="7" style="5" customWidth="1"/>
    <col min="12" max="12" width="9.44140625" style="5" bestFit="1" customWidth="1"/>
    <col min="13" max="13" width="8.88671875" style="5"/>
    <col min="14" max="14" width="6.88671875" style="5" customWidth="1"/>
    <col min="15" max="15" width="14" style="5" customWidth="1"/>
    <col min="16" max="16" width="8.88671875" style="5"/>
    <col min="17" max="17" width="6.88671875" style="5" customWidth="1"/>
    <col min="18" max="18" width="16.109375" style="5" bestFit="1" customWidth="1"/>
    <col min="19" max="19" width="8.88671875" style="5"/>
    <col min="20" max="20" width="15.6640625" style="5" customWidth="1"/>
    <col min="21" max="21" width="14.44140625" style="5" customWidth="1"/>
    <col min="22" max="22" width="8.88671875" style="5"/>
    <col min="23" max="24" width="11" style="5" customWidth="1"/>
    <col min="25" max="26" width="8.88671875" style="5"/>
    <col min="27" max="27" width="16.109375" style="5" bestFit="1" customWidth="1"/>
    <col min="28" max="28" width="13" style="5" customWidth="1"/>
    <col min="29" max="30" width="11" style="5" bestFit="1" customWidth="1"/>
    <col min="31" max="32" width="8.88671875" style="5"/>
    <col min="33" max="33" width="18.5546875" style="5" bestFit="1" customWidth="1"/>
    <col min="34" max="34" width="8.88671875" style="5"/>
    <col min="35" max="35" width="19.6640625" style="5" bestFit="1" customWidth="1"/>
    <col min="36" max="16384" width="8.88671875" style="5"/>
  </cols>
  <sheetData>
    <row r="7" spans="1:75" s="4" customFormat="1" ht="15" customHeight="1">
      <c r="A7" s="1165"/>
      <c r="B7" s="2114"/>
      <c r="C7" s="2114"/>
      <c r="D7" s="2114"/>
      <c r="E7" s="2114"/>
      <c r="F7" s="2114"/>
      <c r="G7" s="2114"/>
      <c r="H7" s="2114"/>
      <c r="I7" s="2114"/>
      <c r="J7" s="2114"/>
      <c r="K7" s="2114"/>
      <c r="L7" s="2114"/>
      <c r="M7" s="2114"/>
      <c r="N7" s="2114"/>
      <c r="O7" s="2114"/>
      <c r="P7" s="2114"/>
      <c r="Q7" s="2114"/>
      <c r="R7" s="2114"/>
      <c r="S7" s="2114"/>
      <c r="T7" s="2114"/>
      <c r="U7" s="2114"/>
      <c r="V7" s="2114"/>
      <c r="W7" s="2114"/>
      <c r="X7" s="2114"/>
      <c r="Y7" s="2114"/>
      <c r="Z7" s="2114"/>
      <c r="AA7" s="2114"/>
      <c r="AB7" s="1165"/>
      <c r="AC7" s="1165"/>
      <c r="AD7" s="1165"/>
      <c r="AE7" s="1165"/>
      <c r="AF7" s="1165"/>
      <c r="AG7" s="1165"/>
      <c r="AH7" s="1165"/>
      <c r="AI7" s="1165"/>
      <c r="AJ7" s="1165"/>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s="3" customFormat="1" ht="15" customHeight="1">
      <c r="B8" s="1188"/>
      <c r="C8" s="1188"/>
      <c r="D8" s="1188"/>
      <c r="E8" s="1188"/>
      <c r="F8" s="1188"/>
      <c r="G8" s="1188"/>
      <c r="H8" s="1188"/>
      <c r="I8" s="1188"/>
      <c r="J8" s="1188"/>
      <c r="K8" s="1188"/>
      <c r="L8" s="1188"/>
      <c r="M8" s="1188"/>
      <c r="N8" s="1188"/>
      <c r="O8" s="1188"/>
      <c r="P8" s="1188"/>
      <c r="Q8" s="1188"/>
      <c r="R8" s="1188"/>
      <c r="S8" s="1188"/>
      <c r="T8" s="1188"/>
      <c r="U8" s="1188"/>
      <c r="V8" s="1188"/>
      <c r="W8" s="1188"/>
      <c r="X8" s="1188"/>
      <c r="Y8" s="1188"/>
      <c r="Z8" s="1188"/>
      <c r="AA8" s="1188"/>
    </row>
    <row r="9" spans="1:75" s="3" customFormat="1" ht="15" customHeight="1">
      <c r="B9" s="1188"/>
      <c r="C9" s="1188"/>
      <c r="D9" s="1188"/>
      <c r="E9" s="1188"/>
      <c r="F9" s="1188"/>
      <c r="G9" s="1188"/>
      <c r="H9" s="1188"/>
      <c r="I9" s="1188"/>
      <c r="J9" s="1188"/>
      <c r="K9" s="1188"/>
      <c r="L9" s="1188"/>
      <c r="M9" s="1188"/>
      <c r="N9" s="1188"/>
      <c r="O9" s="1188"/>
      <c r="P9" s="1188"/>
      <c r="Q9" s="1188"/>
      <c r="R9" s="1188"/>
      <c r="S9" s="1188"/>
      <c r="T9" s="1188"/>
      <c r="U9" s="1188"/>
      <c r="V9" s="1188"/>
      <c r="W9" s="1188"/>
      <c r="X9" s="1188"/>
      <c r="Y9" s="1188"/>
      <c r="Z9" s="1188"/>
      <c r="AA9" s="1188"/>
    </row>
    <row r="10" spans="1:75" s="3" customFormat="1" ht="15" customHeight="1">
      <c r="B10" s="1188"/>
      <c r="C10" s="1188"/>
      <c r="D10" s="1188"/>
      <c r="E10" s="1188"/>
      <c r="F10" s="1188"/>
      <c r="G10" s="1188"/>
      <c r="H10" s="1188"/>
      <c r="I10" s="1188"/>
      <c r="J10" s="1188"/>
      <c r="K10" s="1188"/>
      <c r="L10" s="1188"/>
      <c r="M10" s="1188"/>
      <c r="N10" s="1188"/>
      <c r="O10" s="1188"/>
      <c r="P10" s="1188"/>
      <c r="Q10" s="1188"/>
      <c r="R10" s="1188"/>
      <c r="S10" s="1188"/>
      <c r="T10" s="1188"/>
      <c r="U10" s="1188"/>
      <c r="V10" s="1188"/>
      <c r="W10" s="1188"/>
      <c r="X10" s="1188"/>
      <c r="Y10" s="1188"/>
      <c r="Z10" s="1188"/>
      <c r="AA10" s="1188"/>
    </row>
    <row r="11" spans="1:75" s="3" customFormat="1" ht="15" customHeight="1">
      <c r="B11" s="1188"/>
      <c r="C11" s="1188"/>
      <c r="D11" s="1188"/>
      <c r="E11" s="1188"/>
      <c r="F11" s="1188"/>
      <c r="G11" s="1188"/>
      <c r="H11" s="1188"/>
      <c r="I11" s="1188"/>
      <c r="J11" s="1188"/>
      <c r="K11" s="1188"/>
      <c r="L11" s="1188"/>
      <c r="M11" s="1188"/>
      <c r="N11" s="1188"/>
      <c r="O11" s="1188"/>
      <c r="P11" s="1188"/>
      <c r="Q11" s="1188"/>
      <c r="R11" s="1188"/>
      <c r="S11" s="1188"/>
      <c r="T11" s="1188"/>
      <c r="U11" s="1188"/>
      <c r="V11" s="1188"/>
      <c r="W11" s="1188"/>
      <c r="X11" s="1188"/>
      <c r="Y11" s="1188"/>
      <c r="Z11" s="1188"/>
      <c r="AA11" s="1188"/>
    </row>
    <row r="12" spans="1:75" ht="63" customHeight="1">
      <c r="B12" s="1767" t="s">
        <v>1285</v>
      </c>
      <c r="C12" s="1767"/>
      <c r="D12" s="1767"/>
      <c r="E12" s="1767"/>
      <c r="F12" s="1767"/>
      <c r="G12" s="1767"/>
      <c r="H12" s="1767"/>
      <c r="I12" s="1767"/>
      <c r="J12" s="1767"/>
      <c r="K12" s="1767"/>
      <c r="L12" s="1767"/>
      <c r="M12" s="1767"/>
      <c r="N12" s="1767"/>
      <c r="O12" s="1767"/>
      <c r="P12" s="1767"/>
      <c r="Q12" s="1767"/>
      <c r="R12" s="1767"/>
      <c r="S12" s="1767"/>
      <c r="T12" s="1767"/>
      <c r="U12" s="813"/>
    </row>
    <row r="13" spans="1:75">
      <c r="B13" s="813"/>
      <c r="F13" s="813"/>
      <c r="G13" s="813"/>
      <c r="H13" s="813"/>
      <c r="I13" s="813"/>
      <c r="J13" s="813"/>
      <c r="K13" s="813"/>
      <c r="L13" s="813"/>
      <c r="M13" s="813"/>
      <c r="N13" s="813"/>
      <c r="O13" s="813"/>
      <c r="P13" s="813"/>
      <c r="Q13" s="813"/>
      <c r="R13" s="813"/>
      <c r="S13" s="813"/>
      <c r="T13" s="813"/>
      <c r="U13" s="813"/>
      <c r="AG13" s="1070"/>
      <c r="AH13" s="1070"/>
      <c r="AI13" s="1070"/>
    </row>
    <row r="14" spans="1:75" ht="15" thickBot="1">
      <c r="B14" s="1164" t="s">
        <v>1519</v>
      </c>
      <c r="AG14" s="1070"/>
      <c r="AH14" s="1070"/>
      <c r="AI14" s="1070"/>
    </row>
    <row r="15" spans="1:75" s="807" customFormat="1" ht="45" customHeight="1" thickBot="1">
      <c r="B15" s="2115" t="s">
        <v>1188</v>
      </c>
      <c r="C15" s="2115"/>
      <c r="D15" s="2115"/>
      <c r="E15" s="2115" t="s">
        <v>1251</v>
      </c>
      <c r="F15" s="2115"/>
      <c r="G15" s="2115"/>
      <c r="H15" s="2115" t="s">
        <v>1254</v>
      </c>
      <c r="I15" s="2115"/>
      <c r="J15" s="2115"/>
      <c r="K15" s="2116" t="s">
        <v>1255</v>
      </c>
      <c r="L15" s="2117"/>
      <c r="M15" s="2118"/>
      <c r="N15" s="2116" t="s">
        <v>1258</v>
      </c>
      <c r="O15" s="2117"/>
      <c r="P15" s="2118"/>
      <c r="Q15" s="2116" t="s">
        <v>1259</v>
      </c>
      <c r="R15" s="2117"/>
      <c r="S15" s="2117"/>
      <c r="T15" s="2118"/>
      <c r="U15" s="2116" t="s">
        <v>1260</v>
      </c>
      <c r="V15" s="2117"/>
      <c r="W15" s="2118"/>
      <c r="AG15" s="2112"/>
      <c r="AH15" s="2112"/>
      <c r="AI15" s="2112"/>
    </row>
    <row r="16" spans="1:75" s="807" customFormat="1" ht="28.8">
      <c r="B16" s="1301" t="s">
        <v>1253</v>
      </c>
      <c r="C16" s="1302" t="str">
        <f>'Provisão de Água'!D32</f>
        <v/>
      </c>
      <c r="D16" s="1303" t="str">
        <f>'Provisão de Água'!E32</f>
        <v>m3/unidade de produto</v>
      </c>
      <c r="E16" s="1304" t="s">
        <v>1063</v>
      </c>
      <c r="F16" s="1305" t="str">
        <f>'Provisão Biomassa Combustível'!D40</f>
        <v/>
      </c>
      <c r="G16" s="1306"/>
      <c r="H16" s="1307" t="s">
        <v>25</v>
      </c>
      <c r="I16" s="1308" t="str">
        <f>'Regulação Qualidade da Água'!D34</f>
        <v/>
      </c>
      <c r="J16" s="1309" t="str">
        <f>'Regulação Qualidade da Água'!E34</f>
        <v/>
      </c>
      <c r="K16" s="1307" t="s">
        <v>1526</v>
      </c>
      <c r="L16" s="1310">
        <f>IFERROR('Apoio Regulação de Polinização'!AC36,"")</f>
        <v>0</v>
      </c>
      <c r="M16" s="1311"/>
      <c r="N16" s="1312" t="s">
        <v>1527</v>
      </c>
      <c r="O16" s="1312" t="str">
        <f>IFERROR('Regulação de polinização'!E153:F153,"")</f>
        <v/>
      </c>
      <c r="P16" s="1311"/>
      <c r="Q16" s="1313" t="s">
        <v>1528</v>
      </c>
      <c r="R16" s="1313" t="s">
        <v>1090</v>
      </c>
      <c r="S16" s="1314" t="str">
        <f>IFERROR('Regulação da Erosão do Solo'!F77,"")</f>
        <v/>
      </c>
      <c r="T16" s="1313" t="s">
        <v>1088</v>
      </c>
      <c r="U16" s="1307" t="s">
        <v>1101</v>
      </c>
      <c r="V16" s="1315" t="str">
        <f>IFERROR('Regulação da Erosão do Solo'!D151:E151,"")</f>
        <v/>
      </c>
      <c r="W16" s="1311" t="s">
        <v>1137</v>
      </c>
      <c r="AG16" s="1213"/>
      <c r="AH16" s="1213"/>
      <c r="AI16" s="1213"/>
    </row>
    <row r="17" spans="2:26" ht="15" thickBot="1">
      <c r="B17" s="1316" t="s">
        <v>493</v>
      </c>
      <c r="C17" s="1317">
        <f>'Provisão de Água'!D33</f>
        <v>0</v>
      </c>
      <c r="D17" s="1318" t="s">
        <v>13</v>
      </c>
      <c r="E17" s="1316" t="s">
        <v>493</v>
      </c>
      <c r="F17" s="1319" t="str">
        <f>'Provisão Biomassa Combustível'!D41</f>
        <v/>
      </c>
      <c r="G17" s="1320" t="s">
        <v>13</v>
      </c>
      <c r="H17" s="1316" t="s">
        <v>493</v>
      </c>
      <c r="I17" s="1321" t="str">
        <f>'Regulação Qualidade da Água'!D35</f>
        <v/>
      </c>
      <c r="J17" s="1322" t="s">
        <v>13</v>
      </c>
      <c r="K17" s="1316" t="s">
        <v>493</v>
      </c>
      <c r="L17" s="1323" t="str">
        <f>'Regulação de polinização'!D38</f>
        <v>-</v>
      </c>
      <c r="M17" s="1324" t="s">
        <v>13</v>
      </c>
      <c r="N17" s="1322" t="s">
        <v>1058</v>
      </c>
      <c r="O17" s="1322" t="str">
        <f>IFERROR('Regulação de polinização'!E154:F154,"")</f>
        <v/>
      </c>
      <c r="P17" s="1324" t="s">
        <v>13</v>
      </c>
      <c r="Q17" s="1325"/>
      <c r="R17" s="1325" t="s">
        <v>1091</v>
      </c>
      <c r="S17" s="1221" t="str">
        <f>IFERROR('Regulação da Erosão do Solo'!F78,"")</f>
        <v/>
      </c>
      <c r="T17" s="1326" t="s">
        <v>1088</v>
      </c>
      <c r="U17" s="1316" t="s">
        <v>492</v>
      </c>
      <c r="V17" s="1317" t="str">
        <f>IFERROR('Regulação da Erosão do Solo'!D152:E152,"")</f>
        <v/>
      </c>
      <c r="W17" s="1327" t="s">
        <v>13</v>
      </c>
    </row>
    <row r="18" spans="2:26">
      <c r="Q18" s="1328"/>
      <c r="R18" s="1325" t="s">
        <v>1092</v>
      </c>
      <c r="S18" s="1325" t="str">
        <f>IFERROR('Regulação da Erosão do Solo'!F79,"")</f>
        <v/>
      </c>
      <c r="T18" s="1329" t="s">
        <v>1088</v>
      </c>
    </row>
    <row r="19" spans="2:26">
      <c r="Q19" s="1328"/>
      <c r="R19" s="1325" t="str">
        <f>'Regulação da Erosão do Solo'!D80</f>
        <v xml:space="preserve">Outro 1 (O1) </v>
      </c>
      <c r="S19" s="1330" t="str">
        <f>'Regulação da Erosão do Solo'!F80</f>
        <v/>
      </c>
      <c r="T19" s="1329" t="s">
        <v>1088</v>
      </c>
    </row>
    <row r="20" spans="2:26">
      <c r="Q20" s="1328"/>
      <c r="R20" s="1325" t="str">
        <f>'Regulação da Erosão do Solo'!D81</f>
        <v>Outro 2 (O2)</v>
      </c>
      <c r="S20" s="1330" t="str">
        <f>'Regulação da Erosão do Solo'!F81</f>
        <v/>
      </c>
      <c r="T20" s="1329" t="s">
        <v>1088</v>
      </c>
    </row>
    <row r="21" spans="2:26" ht="15" thickBot="1">
      <c r="Q21" s="1316" t="s">
        <v>492</v>
      </c>
      <c r="R21" s="1331"/>
      <c r="S21" s="1319" t="str">
        <f>IFERROR('Regulação da Erosão do Solo'!E82:F82,"")</f>
        <v/>
      </c>
      <c r="T21" s="1332" t="s">
        <v>13</v>
      </c>
    </row>
    <row r="22" spans="2:26" ht="15.75" customHeight="1"/>
    <row r="25" spans="2:26" ht="15" thickBot="1">
      <c r="B25" s="1147" t="s">
        <v>1520</v>
      </c>
    </row>
    <row r="26" spans="2:26" ht="45" customHeight="1" thickBot="1">
      <c r="B26" s="2119" t="s">
        <v>1188</v>
      </c>
      <c r="C26" s="2119"/>
      <c r="D26" s="2119"/>
      <c r="E26" s="2119" t="s">
        <v>1251</v>
      </c>
      <c r="F26" s="2119"/>
      <c r="G26" s="2119"/>
      <c r="H26" s="2119" t="s">
        <v>1254</v>
      </c>
      <c r="I26" s="2119"/>
      <c r="J26" s="2119"/>
      <c r="K26" s="2120" t="s">
        <v>1255</v>
      </c>
      <c r="L26" s="2121"/>
      <c r="M26" s="2122"/>
      <c r="N26" s="2120" t="s">
        <v>1258</v>
      </c>
      <c r="O26" s="2121"/>
      <c r="P26" s="2122"/>
      <c r="Q26" s="2120" t="s">
        <v>1259</v>
      </c>
      <c r="R26" s="2121"/>
      <c r="S26" s="2121"/>
      <c r="T26" s="2122"/>
      <c r="U26" s="2120" t="s">
        <v>1260</v>
      </c>
      <c r="V26" s="2121"/>
      <c r="W26" s="2122"/>
      <c r="X26" s="2120" t="s">
        <v>1262</v>
      </c>
      <c r="Y26" s="2121"/>
      <c r="Z26" s="2122"/>
    </row>
    <row r="27" spans="2:26" s="1214" customFormat="1" ht="15.6">
      <c r="B27" s="1333" t="s">
        <v>20</v>
      </c>
      <c r="C27" s="1334">
        <f>'Provisão de Água'!H32</f>
        <v>0</v>
      </c>
      <c r="D27" s="1335" t="s">
        <v>497</v>
      </c>
      <c r="E27" s="1333" t="s">
        <v>20</v>
      </c>
      <c r="F27" s="1334" t="str">
        <f>'Provisão Biomassa Combustível'!H40</f>
        <v/>
      </c>
      <c r="G27" s="1336" t="str">
        <f>'Provisão Biomassa Combustível'!I40</f>
        <v/>
      </c>
      <c r="H27" s="1333" t="s">
        <v>27</v>
      </c>
      <c r="I27" s="1337" t="str">
        <f>'Regulação Qualidade da Água'!H34</f>
        <v/>
      </c>
      <c r="J27" s="1336" t="str">
        <f>'Regulação Qualidade da Água'!I34</f>
        <v/>
      </c>
      <c r="K27" s="1333" t="s">
        <v>1523</v>
      </c>
      <c r="L27" s="1338">
        <f>IFERROR('Regulação de polinização'!D57,"")</f>
        <v>0</v>
      </c>
      <c r="M27" s="1339"/>
      <c r="N27" s="1333" t="s">
        <v>1523</v>
      </c>
      <c r="O27" s="1340" t="str">
        <f>IFERROR('Regulação de polinização'!D173:E173,"")</f>
        <v/>
      </c>
      <c r="P27" s="1341"/>
      <c r="Q27" s="1333" t="s">
        <v>1098</v>
      </c>
      <c r="R27" s="1342" t="s">
        <v>1090</v>
      </c>
      <c r="S27" s="1338" t="str">
        <f>IFERROR('Regulação da Erosão do Solo'!L77,"")</f>
        <v/>
      </c>
      <c r="T27" s="1341" t="s">
        <v>1088</v>
      </c>
      <c r="U27" s="1333" t="s">
        <v>1101</v>
      </c>
      <c r="V27" s="1343" t="str">
        <f>IFERROR('Regulação da Erosão do Solo'!I151:J151,"")</f>
        <v/>
      </c>
      <c r="W27" s="1341" t="s">
        <v>1137</v>
      </c>
      <c r="X27" s="1333" t="s">
        <v>1524</v>
      </c>
      <c r="Y27" s="1344" t="str">
        <f>IFERROR('Recreação e Turismo'!F32,"")</f>
        <v/>
      </c>
      <c r="Z27" s="1336" t="s">
        <v>521</v>
      </c>
    </row>
    <row r="28" spans="2:26" s="1214" customFormat="1" ht="43.8" thickBot="1">
      <c r="B28" s="1345" t="s">
        <v>493</v>
      </c>
      <c r="C28" s="1346">
        <f>'Provisão de Água'!H33</f>
        <v>0</v>
      </c>
      <c r="D28" s="1347" t="s">
        <v>13</v>
      </c>
      <c r="E28" s="1345" t="s">
        <v>492</v>
      </c>
      <c r="F28" s="1346" t="str">
        <f>'Provisão Biomassa Combustível'!H41</f>
        <v/>
      </c>
      <c r="G28" s="1348" t="s">
        <v>13</v>
      </c>
      <c r="H28" s="1345" t="s">
        <v>493</v>
      </c>
      <c r="I28" s="1349" t="str">
        <f>'Regulação Qualidade da Água'!H35</f>
        <v/>
      </c>
      <c r="J28" s="1350" t="s">
        <v>13</v>
      </c>
      <c r="K28" s="1345" t="s">
        <v>493</v>
      </c>
      <c r="L28" s="1351">
        <f>'Regulação de polinização'!D58</f>
        <v>0</v>
      </c>
      <c r="M28" s="1352" t="s">
        <v>13</v>
      </c>
      <c r="N28" s="1345" t="s">
        <v>493</v>
      </c>
      <c r="O28" s="1353" t="str">
        <f>IFERROR('Regulação de polinização'!D174:E174,"")</f>
        <v/>
      </c>
      <c r="P28" s="1354" t="s">
        <v>13</v>
      </c>
      <c r="Q28" s="1355"/>
      <c r="R28" s="1356" t="s">
        <v>1091</v>
      </c>
      <c r="S28" s="1357" t="str">
        <f>IFERROR('Regulação da Erosão do Solo'!L78,"")</f>
        <v/>
      </c>
      <c r="T28" s="1358" t="s">
        <v>1088</v>
      </c>
      <c r="U28" s="1345" t="s">
        <v>492</v>
      </c>
      <c r="V28" s="1359" t="str">
        <f>IFERROR('Regulação da Erosão do Solo'!I152:J152,"")</f>
        <v/>
      </c>
      <c r="W28" s="1348" t="s">
        <v>13</v>
      </c>
      <c r="X28" s="1355" t="s">
        <v>1151</v>
      </c>
      <c r="Y28" s="1360" t="str">
        <f>IFERROR('Recreação e Turismo'!F33,"")</f>
        <v/>
      </c>
      <c r="Z28" s="1361" t="s">
        <v>1052</v>
      </c>
    </row>
    <row r="29" spans="2:26" s="1214" customFormat="1">
      <c r="B29" s="1215"/>
      <c r="C29" s="1215"/>
      <c r="D29" s="1215"/>
      <c r="E29" s="1215"/>
      <c r="F29" s="1215"/>
      <c r="G29" s="1215"/>
      <c r="H29" s="1215"/>
      <c r="I29" s="1215"/>
      <c r="J29" s="1215"/>
      <c r="K29" s="1215"/>
      <c r="L29" s="1215"/>
      <c r="M29" s="1215"/>
      <c r="N29" s="1215"/>
      <c r="O29" s="1215"/>
      <c r="P29" s="1215"/>
      <c r="Q29" s="1355"/>
      <c r="R29" s="1356" t="s">
        <v>1092</v>
      </c>
      <c r="S29" s="1356" t="str">
        <f>IFERROR('Regulação da Erosão do Solo'!L79,"")</f>
        <v/>
      </c>
      <c r="T29" s="1358" t="s">
        <v>1088</v>
      </c>
      <c r="U29" s="1216"/>
      <c r="V29" s="1216"/>
      <c r="W29" s="1216"/>
      <c r="X29" s="1355" t="s">
        <v>1103</v>
      </c>
      <c r="Y29" s="1364" t="str">
        <f>IFERROR('Recreação e Turismo'!E34:F34,"")</f>
        <v/>
      </c>
      <c r="Z29" s="1365" t="s">
        <v>13</v>
      </c>
    </row>
    <row r="30" spans="2:26" s="1214" customFormat="1" ht="15" thickBot="1">
      <c r="B30" s="1215"/>
      <c r="C30" s="1215"/>
      <c r="D30" s="1215"/>
      <c r="E30" s="1215"/>
      <c r="F30" s="1215"/>
      <c r="G30" s="1215"/>
      <c r="H30" s="1215"/>
      <c r="I30" s="1215"/>
      <c r="J30" s="1215"/>
      <c r="K30" s="1215"/>
      <c r="L30" s="1215"/>
      <c r="M30" s="1215"/>
      <c r="N30" s="1215"/>
      <c r="O30" s="1215"/>
      <c r="P30" s="1215"/>
      <c r="Q30" s="1355"/>
      <c r="R30" s="1356" t="str">
        <f>'Regulação da Erosão do Solo'!K80</f>
        <v xml:space="preserve">Outro 1 (O1) </v>
      </c>
      <c r="S30" s="1362" t="str">
        <f>'Regulação da Erosão do Solo'!L80</f>
        <v/>
      </c>
      <c r="T30" s="1358" t="s">
        <v>1088</v>
      </c>
      <c r="U30" s="1216"/>
      <c r="V30" s="1216"/>
      <c r="W30" s="1216"/>
      <c r="X30" s="1345" t="s">
        <v>1104</v>
      </c>
      <c r="Y30" s="1366" t="str">
        <f>IFERROR('Recreação e Turismo'!E35:F35,"")</f>
        <v/>
      </c>
      <c r="Z30" s="1367" t="s">
        <v>13</v>
      </c>
    </row>
    <row r="31" spans="2:26" s="1214" customFormat="1">
      <c r="B31" s="1215"/>
      <c r="C31" s="1215"/>
      <c r="D31" s="1215"/>
      <c r="E31" s="1215"/>
      <c r="F31" s="1215"/>
      <c r="G31" s="1215"/>
      <c r="H31" s="1215"/>
      <c r="I31" s="1215"/>
      <c r="J31" s="1215"/>
      <c r="K31" s="1215"/>
      <c r="L31" s="1215"/>
      <c r="M31" s="1215"/>
      <c r="N31" s="1215"/>
      <c r="O31" s="1215"/>
      <c r="P31" s="1215"/>
      <c r="Q31" s="1355"/>
      <c r="R31" s="1356" t="str">
        <f>'Regulação da Erosão do Solo'!K81</f>
        <v>Outro 2 (O2)</v>
      </c>
      <c r="S31" s="1362" t="str">
        <f>'Regulação da Erosão do Solo'!L81</f>
        <v/>
      </c>
      <c r="T31" s="1358" t="s">
        <v>1088</v>
      </c>
      <c r="U31" s="1216"/>
      <c r="V31" s="1216"/>
      <c r="W31" s="1216"/>
      <c r="X31" s="1216"/>
      <c r="Y31" s="1216"/>
      <c r="Z31" s="1216"/>
    </row>
    <row r="32" spans="2:26" s="1214" customFormat="1" ht="15" thickBot="1">
      <c r="B32" s="1215"/>
      <c r="C32" s="1215"/>
      <c r="D32" s="1215"/>
      <c r="E32" s="1215"/>
      <c r="F32" s="1215"/>
      <c r="G32" s="1215"/>
      <c r="H32" s="1215"/>
      <c r="I32" s="1215"/>
      <c r="J32" s="1215"/>
      <c r="K32" s="1215"/>
      <c r="L32" s="1215"/>
      <c r="M32" s="1215"/>
      <c r="N32" s="1215"/>
      <c r="O32" s="1215"/>
      <c r="P32" s="1215"/>
      <c r="Q32" s="1345" t="s">
        <v>492</v>
      </c>
      <c r="R32" s="2113" t="str">
        <f>IFERROR('Regulação da Erosão do Solo'!K82:L82,"")</f>
        <v/>
      </c>
      <c r="S32" s="2113"/>
      <c r="T32" s="1363" t="s">
        <v>13</v>
      </c>
      <c r="U32" s="1216"/>
      <c r="V32" s="1216"/>
      <c r="W32" s="1216"/>
      <c r="X32" s="1216"/>
      <c r="Y32" s="1216"/>
      <c r="Z32" s="1216"/>
    </row>
    <row r="33" spans="2:29" s="1214" customFormat="1">
      <c r="B33" s="1215"/>
      <c r="C33" s="1215"/>
      <c r="D33" s="1215"/>
      <c r="E33" s="1215"/>
      <c r="F33" s="1215"/>
      <c r="G33" s="1215"/>
      <c r="H33" s="1215"/>
      <c r="I33" s="1215"/>
      <c r="J33" s="1215"/>
      <c r="K33" s="1215"/>
      <c r="L33" s="1215"/>
      <c r="M33" s="1215"/>
      <c r="N33" s="1215"/>
      <c r="O33" s="1215"/>
      <c r="P33" s="1215"/>
      <c r="Q33" s="1215"/>
      <c r="R33" s="1215"/>
      <c r="S33" s="1215"/>
      <c r="T33" s="1215"/>
      <c r="U33" s="1215"/>
      <c r="V33" s="1215"/>
      <c r="W33" s="1215"/>
      <c r="X33" s="1215"/>
      <c r="Y33" s="1215"/>
      <c r="Z33" s="1215"/>
    </row>
    <row r="37" spans="2:29" ht="15" thickBot="1">
      <c r="B37" s="1167" t="s">
        <v>3</v>
      </c>
    </row>
    <row r="38" spans="2:29" ht="45" customHeight="1" thickBot="1">
      <c r="B38" s="2119" t="s">
        <v>1188</v>
      </c>
      <c r="C38" s="2119"/>
      <c r="D38" s="2119"/>
      <c r="E38" s="2119" t="s">
        <v>1251</v>
      </c>
      <c r="F38" s="2119"/>
      <c r="G38" s="2119"/>
      <c r="H38" s="2119" t="s">
        <v>1254</v>
      </c>
      <c r="I38" s="2119"/>
      <c r="J38" s="2119"/>
      <c r="K38" s="2119" t="s">
        <v>1261</v>
      </c>
      <c r="L38" s="2119"/>
      <c r="M38" s="2119"/>
      <c r="N38" s="2119" t="s">
        <v>1256</v>
      </c>
      <c r="O38" s="2119"/>
      <c r="P38" s="2119"/>
      <c r="Q38" s="2119" t="s">
        <v>1257</v>
      </c>
      <c r="R38" s="2119"/>
      <c r="S38" s="2119"/>
      <c r="T38" s="2120" t="s">
        <v>1258</v>
      </c>
      <c r="U38" s="2121"/>
      <c r="V38" s="2122"/>
      <c r="W38" s="2120" t="s">
        <v>1260</v>
      </c>
      <c r="X38" s="2121"/>
      <c r="Y38" s="2122"/>
      <c r="Z38" s="2120" t="s">
        <v>1262</v>
      </c>
      <c r="AA38" s="2121"/>
      <c r="AB38" s="2122"/>
      <c r="AC38" s="1368"/>
    </row>
    <row r="39" spans="2:29" ht="29.4">
      <c r="B39" s="1217" t="s">
        <v>21</v>
      </c>
      <c r="C39" s="1218">
        <f>'Provisão de Água'!L32</f>
        <v>0</v>
      </c>
      <c r="D39" s="1219" t="str">
        <f>'Provisão de Água'!M32</f>
        <v>m³</v>
      </c>
      <c r="E39" s="1023" t="s">
        <v>1494</v>
      </c>
      <c r="F39" s="1022" t="str">
        <f>'Provisão Biomassa Combustível'!L40</f>
        <v/>
      </c>
      <c r="G39" s="1024"/>
      <c r="H39" s="1030" t="s">
        <v>26</v>
      </c>
      <c r="I39" s="1031" t="str">
        <f>'Regulação Qualidade da Água'!L34</f>
        <v/>
      </c>
      <c r="J39" s="1024" t="str">
        <f>'Regulação Qualidade da Água'!M34</f>
        <v/>
      </c>
      <c r="K39" s="1071" t="s">
        <v>1066</v>
      </c>
      <c r="L39" s="1032" t="str">
        <f>'Assimilação Efluentes Líquido'!I25</f>
        <v/>
      </c>
      <c r="M39" s="1026" t="str">
        <f>'Assimilação Efluentes Líquido'!J25</f>
        <v/>
      </c>
      <c r="N39" s="1021" t="s">
        <v>1496</v>
      </c>
      <c r="O39" s="1033" t="str">
        <f>IFERROR('Regulação do clima global'!J57:J57,"")</f>
        <v/>
      </c>
      <c r="P39" s="1034" t="s">
        <v>1400</v>
      </c>
      <c r="Q39" s="1021" t="s">
        <v>1497</v>
      </c>
      <c r="R39" s="1035" t="str">
        <f>IFERROR('Regulação do clima global'!H108:I108,"")</f>
        <v/>
      </c>
      <c r="S39" s="1034" t="s">
        <v>1400</v>
      </c>
      <c r="T39" s="1025" t="s">
        <v>1059</v>
      </c>
      <c r="U39" s="1037" t="str">
        <f>IFERROR('Regulação de polinização'!D193:E193,"")</f>
        <v/>
      </c>
      <c r="V39" s="1038"/>
      <c r="W39" s="1039" t="s">
        <v>1101</v>
      </c>
      <c r="X39" s="1175" t="str">
        <f>IFERROR('Regulação da Erosão do Solo'!N151,"")</f>
        <v/>
      </c>
      <c r="Y39" s="1036" t="s">
        <v>1137</v>
      </c>
      <c r="Z39" s="1030" t="s">
        <v>1151</v>
      </c>
      <c r="AA39" s="1072" t="str">
        <f>IFERROR('Recreação e Turismo'!K32,"")</f>
        <v/>
      </c>
      <c r="AB39" s="1220" t="s">
        <v>1052</v>
      </c>
      <c r="AC39" s="1369"/>
    </row>
    <row r="40" spans="2:29" ht="16.2" thickBot="1">
      <c r="B40" s="1027" t="s">
        <v>493</v>
      </c>
      <c r="C40" s="1028">
        <f>'Provisão de Água'!L33</f>
        <v>0</v>
      </c>
      <c r="D40" s="1042" t="s">
        <v>13</v>
      </c>
      <c r="E40" s="1025" t="s">
        <v>1495</v>
      </c>
      <c r="F40" s="1022" t="str">
        <f>'Provisão Biomassa Combustível'!L41</f>
        <v/>
      </c>
      <c r="G40" s="1026" t="s">
        <v>1400</v>
      </c>
      <c r="H40" s="1040" t="s">
        <v>493</v>
      </c>
      <c r="I40" s="1041" t="str">
        <f>'Regulação Qualidade da Água'!L35</f>
        <v/>
      </c>
      <c r="J40" s="1042" t="s">
        <v>13</v>
      </c>
      <c r="K40" s="1027" t="s">
        <v>493</v>
      </c>
      <c r="L40" s="1043" t="str">
        <f>'Assimilação Efluentes Líquido'!I26</f>
        <v/>
      </c>
      <c r="M40" s="1044" t="s">
        <v>13</v>
      </c>
      <c r="N40" s="1027" t="s">
        <v>493</v>
      </c>
      <c r="O40" s="1045" t="str">
        <f>IFERROR('Regulação do clima global'!J58:J58,"")</f>
        <v/>
      </c>
      <c r="P40" s="517" t="s">
        <v>13</v>
      </c>
      <c r="Q40" s="1027" t="s">
        <v>493</v>
      </c>
      <c r="R40" s="1045" t="str">
        <f>IFERROR('Regulação do clima global'!H109:I109,"")</f>
        <v/>
      </c>
      <c r="S40" s="517" t="s">
        <v>13</v>
      </c>
      <c r="T40" s="745" t="s">
        <v>493</v>
      </c>
      <c r="U40" s="1047" t="str">
        <f>IFERROR('Regulação de polinização'!D194:E194,"")</f>
        <v/>
      </c>
      <c r="V40" s="746" t="s">
        <v>13</v>
      </c>
      <c r="W40" s="1048" t="s">
        <v>492</v>
      </c>
      <c r="X40" s="1168">
        <f>IFERROR('Regulação da Erosão do Solo'!N152,"")</f>
        <v>0</v>
      </c>
      <c r="Y40" s="1046" t="s">
        <v>13</v>
      </c>
      <c r="Z40" s="1040" t="s">
        <v>493</v>
      </c>
      <c r="AA40" s="1049" t="str">
        <f>IFERROR('Recreação e Turismo'!J33:K33,"")</f>
        <v/>
      </c>
      <c r="AB40" s="1044" t="s">
        <v>13</v>
      </c>
      <c r="AC40" s="1369"/>
    </row>
    <row r="41" spans="2:29" ht="15" thickBot="1">
      <c r="E41" s="1027" t="s">
        <v>493</v>
      </c>
      <c r="F41" s="1028" t="str">
        <f>'Provisão Biomassa Combustível'!L42</f>
        <v/>
      </c>
      <c r="G41" s="1029" t="s">
        <v>13</v>
      </c>
      <c r="AC41" s="1205"/>
    </row>
  </sheetData>
  <sheetProtection selectLockedCells="1" selectUnlockedCells="1"/>
  <mergeCells count="28">
    <mergeCell ref="Q38:S38"/>
    <mergeCell ref="T38:V38"/>
    <mergeCell ref="W38:Y38"/>
    <mergeCell ref="X26:Z26"/>
    <mergeCell ref="Z38:AB38"/>
    <mergeCell ref="Q26:T26"/>
    <mergeCell ref="U26:W26"/>
    <mergeCell ref="B38:D38"/>
    <mergeCell ref="E38:G38"/>
    <mergeCell ref="H38:J38"/>
    <mergeCell ref="K38:M38"/>
    <mergeCell ref="N38:P38"/>
    <mergeCell ref="AG15:AI15"/>
    <mergeCell ref="R32:S32"/>
    <mergeCell ref="B7:AA7"/>
    <mergeCell ref="B15:D15"/>
    <mergeCell ref="E15:G15"/>
    <mergeCell ref="H15:J15"/>
    <mergeCell ref="K15:M15"/>
    <mergeCell ref="N15:P15"/>
    <mergeCell ref="B26:D26"/>
    <mergeCell ref="E26:G26"/>
    <mergeCell ref="H26:J26"/>
    <mergeCell ref="K26:M26"/>
    <mergeCell ref="B12:T12"/>
    <mergeCell ref="Q15:T15"/>
    <mergeCell ref="U15:W15"/>
    <mergeCell ref="N26:P26"/>
  </mergeCells>
  <pageMargins left="0.511811024" right="0.511811024" top="0.78740157499999996" bottom="0.78740157499999996" header="0.31496062000000002" footer="0.31496062000000002"/>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3"/>
  <sheetViews>
    <sheetView workbookViewId="0"/>
  </sheetViews>
  <sheetFormatPr defaultColWidth="8.88671875" defaultRowHeight="14.4"/>
  <cols>
    <col min="1" max="1" width="20.88671875" style="5" customWidth="1"/>
    <col min="2" max="2" width="23.109375" style="5" customWidth="1"/>
    <col min="3" max="16384" width="8.88671875" style="5"/>
  </cols>
  <sheetData>
    <row r="1" spans="1:2">
      <c r="A1" s="5" t="s">
        <v>1187</v>
      </c>
    </row>
    <row r="3" spans="1:2" ht="15.6">
      <c r="A3" s="2124" t="s">
        <v>1188</v>
      </c>
      <c r="B3" s="2124"/>
    </row>
    <row r="4" spans="1:2" ht="15.6">
      <c r="A4" s="2123" t="s">
        <v>494</v>
      </c>
      <c r="B4" s="2123"/>
    </row>
    <row r="5" spans="1:2">
      <c r="A5" s="1067" t="s">
        <v>12</v>
      </c>
      <c r="B5" s="1067"/>
    </row>
    <row r="6" spans="1:2" ht="16.2">
      <c r="A6" s="1067" t="s">
        <v>1500</v>
      </c>
      <c r="B6" s="1067" t="s">
        <v>1501</v>
      </c>
    </row>
    <row r="7" spans="1:2" ht="16.2">
      <c r="A7" s="1067" t="s">
        <v>14</v>
      </c>
      <c r="B7" s="1067" t="s">
        <v>1502</v>
      </c>
    </row>
    <row r="8" spans="1:2">
      <c r="A8" s="1067" t="s">
        <v>15</v>
      </c>
      <c r="B8" s="1067" t="s">
        <v>19</v>
      </c>
    </row>
    <row r="9" spans="1:2" ht="16.2">
      <c r="A9" s="1067" t="s">
        <v>16</v>
      </c>
      <c r="B9" s="1067" t="s">
        <v>1503</v>
      </c>
    </row>
    <row r="10" spans="1:2" ht="16.2">
      <c r="A10" s="1067" t="s">
        <v>13</v>
      </c>
      <c r="B10" s="1067" t="s">
        <v>1504</v>
      </c>
    </row>
    <row r="11" spans="1:2" ht="16.2">
      <c r="A11" s="1067" t="s">
        <v>17</v>
      </c>
      <c r="B11" s="1067" t="s">
        <v>1505</v>
      </c>
    </row>
    <row r="12" spans="1:2" ht="16.2">
      <c r="A12" s="1067" t="s">
        <v>18</v>
      </c>
      <c r="B12" s="1067" t="s">
        <v>1506</v>
      </c>
    </row>
    <row r="13" spans="1:2" ht="15.6">
      <c r="A13" s="57"/>
      <c r="B13" s="1068"/>
    </row>
  </sheetData>
  <mergeCells count="2">
    <mergeCell ref="A4:B4"/>
    <mergeCell ref="A3:B3"/>
  </mergeCells>
  <pageMargins left="0.511811024" right="0.511811024" top="0.78740157499999996" bottom="0.78740157499999996" header="0.31496062000000002" footer="0.31496062000000002"/>
  <pageSetup paperSize="9"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AF70"/>
  <sheetViews>
    <sheetView showGridLines="0" tabSelected="1" zoomScale="90" zoomScaleNormal="90" workbookViewId="0">
      <selection activeCell="V19" sqref="V18:V19"/>
    </sheetView>
  </sheetViews>
  <sheetFormatPr defaultColWidth="0" defaultRowHeight="14.4" zeroHeight="1"/>
  <cols>
    <col min="1" max="11" width="2.44140625" style="5" customWidth="1"/>
    <col min="12" max="13" width="8.88671875" style="5" customWidth="1"/>
    <col min="14" max="14" width="9" style="5" customWidth="1"/>
    <col min="15" max="26" width="8.88671875" style="5" customWidth="1"/>
    <col min="27" max="27" width="7.44140625" style="5" customWidth="1"/>
    <col min="28" max="28" width="2.109375" style="5" customWidth="1"/>
    <col min="29" max="29" width="6.5546875" style="5" customWidth="1"/>
    <col min="30" max="30" width="10.44140625" style="5" customWidth="1"/>
    <col min="31" max="31" width="6" style="5" customWidth="1"/>
    <col min="32" max="32" width="16" style="5" customWidth="1"/>
    <col min="33" max="16384" width="8.88671875" style="5" hidden="1"/>
  </cols>
  <sheetData>
    <row r="1" spans="12:31"/>
    <row r="2" spans="12:31"/>
    <row r="3" spans="12:31"/>
    <row r="4" spans="12:31"/>
    <row r="5" spans="12:31"/>
    <row r="6" spans="12:31"/>
    <row r="7" spans="12:31" ht="15.6">
      <c r="L7" s="37" t="s">
        <v>1286</v>
      </c>
    </row>
    <row r="8" spans="12:31" ht="47.25" customHeight="1">
      <c r="L8" s="1631" t="s">
        <v>1287</v>
      </c>
      <c r="M8" s="1631"/>
      <c r="N8" s="1631"/>
      <c r="O8" s="1631"/>
      <c r="P8" s="1631"/>
      <c r="Q8" s="1631"/>
      <c r="R8" s="1631"/>
      <c r="S8" s="1631"/>
      <c r="T8" s="1631"/>
      <c r="U8" s="1631"/>
      <c r="V8" s="1631"/>
      <c r="W8" s="1631"/>
      <c r="X8" s="1631"/>
      <c r="Y8" s="1631"/>
      <c r="Z8" s="1631"/>
      <c r="AA8" s="1631"/>
      <c r="AB8" s="1631"/>
      <c r="AC8" s="1631"/>
      <c r="AD8" s="1631"/>
      <c r="AE8" s="1631"/>
    </row>
    <row r="9" spans="12:31" ht="33" customHeight="1">
      <c r="L9" s="1631" t="s">
        <v>1315</v>
      </c>
      <c r="M9" s="1631"/>
      <c r="N9" s="1631"/>
      <c r="O9" s="1631"/>
      <c r="P9" s="1631"/>
      <c r="Q9" s="1631"/>
      <c r="R9" s="1631"/>
      <c r="S9" s="1631"/>
      <c r="T9" s="1631"/>
      <c r="U9" s="1631"/>
      <c r="V9" s="1631"/>
      <c r="W9" s="1631"/>
      <c r="X9" s="1631"/>
      <c r="Y9" s="1631"/>
      <c r="Z9" s="1631"/>
      <c r="AA9" s="1631"/>
      <c r="AB9" s="1631"/>
      <c r="AC9" s="1631"/>
      <c r="AD9" s="1631"/>
      <c r="AE9" s="1631"/>
    </row>
    <row r="10" spans="12:31" ht="15" customHeight="1">
      <c r="L10" s="38" t="s">
        <v>1288</v>
      </c>
      <c r="M10" s="39"/>
      <c r="N10" s="39"/>
      <c r="O10" s="40" t="s">
        <v>1249</v>
      </c>
      <c r="P10" s="38" t="s">
        <v>1250</v>
      </c>
      <c r="Q10" s="39"/>
      <c r="R10" s="39"/>
      <c r="S10" s="39"/>
      <c r="T10" s="39"/>
      <c r="U10" s="39"/>
      <c r="V10" s="39"/>
      <c r="W10" s="39"/>
      <c r="X10" s="39"/>
      <c r="Y10" s="39"/>
      <c r="Z10" s="39"/>
      <c r="AA10" s="39"/>
      <c r="AB10" s="39"/>
      <c r="AC10" s="39"/>
      <c r="AD10" s="39"/>
      <c r="AE10" s="39"/>
    </row>
    <row r="11" spans="12:31" ht="29.25" customHeight="1">
      <c r="L11" s="1635" t="s">
        <v>1289</v>
      </c>
      <c r="M11" s="1636"/>
      <c r="N11" s="1636"/>
      <c r="O11" s="1636"/>
      <c r="P11" s="1636"/>
      <c r="Q11" s="1636"/>
      <c r="R11" s="1636"/>
      <c r="S11" s="1636"/>
      <c r="T11" s="1636"/>
      <c r="U11" s="1636"/>
      <c r="V11" s="1636"/>
      <c r="W11" s="1636"/>
      <c r="X11" s="1636"/>
      <c r="Y11" s="1636"/>
      <c r="Z11" s="1636"/>
      <c r="AA11" s="1636"/>
      <c r="AB11" s="1636"/>
      <c r="AC11" s="1636"/>
      <c r="AD11" s="1636"/>
      <c r="AE11" s="1636"/>
    </row>
    <row r="12" spans="12:31" ht="29.25" customHeight="1">
      <c r="L12" s="1631" t="s">
        <v>1290</v>
      </c>
      <c r="M12" s="1631"/>
      <c r="N12" s="1631"/>
      <c r="O12" s="1631"/>
      <c r="P12" s="1631"/>
      <c r="Q12" s="1631"/>
      <c r="R12" s="1631"/>
      <c r="S12" s="1631"/>
      <c r="T12" s="1631"/>
      <c r="U12" s="1631"/>
      <c r="V12" s="1631"/>
      <c r="W12" s="1631"/>
      <c r="X12" s="1631"/>
      <c r="Y12" s="1631"/>
      <c r="Z12" s="1631"/>
      <c r="AA12" s="1631"/>
      <c r="AB12" s="1631"/>
      <c r="AC12" s="1631"/>
      <c r="AD12" s="1631"/>
      <c r="AE12" s="1631"/>
    </row>
    <row r="13" spans="12:31" ht="30" customHeight="1">
      <c r="L13" s="1638" t="s">
        <v>1291</v>
      </c>
      <c r="M13" s="1638"/>
      <c r="N13" s="1638"/>
      <c r="O13" s="1638"/>
      <c r="P13" s="1638"/>
      <c r="Q13" s="1638"/>
      <c r="R13" s="1638"/>
      <c r="S13" s="1638"/>
      <c r="T13" s="1638"/>
      <c r="U13" s="1638"/>
      <c r="V13" s="1638"/>
      <c r="W13" s="1638"/>
      <c r="X13" s="1638"/>
      <c r="Y13" s="1638"/>
      <c r="Z13" s="1638"/>
      <c r="AA13" s="1638"/>
      <c r="AB13" s="1638"/>
      <c r="AC13" s="1638"/>
      <c r="AD13" s="1638"/>
      <c r="AE13" s="1638"/>
    </row>
    <row r="14" spans="12:31" ht="30" customHeight="1">
      <c r="L14" s="1607" t="s">
        <v>1521</v>
      </c>
      <c r="M14" s="1607"/>
      <c r="N14" s="1607"/>
      <c r="O14" s="1607"/>
      <c r="P14" s="1607"/>
      <c r="Q14" s="1607"/>
      <c r="R14" s="1607"/>
      <c r="S14" s="1607"/>
      <c r="T14" s="1607"/>
      <c r="U14" s="1607"/>
      <c r="V14" s="1607"/>
      <c r="W14" s="1607"/>
      <c r="X14" s="1607"/>
      <c r="Y14" s="1607"/>
      <c r="Z14" s="1607"/>
      <c r="AA14" s="1607"/>
      <c r="AB14" s="1607"/>
      <c r="AC14" s="1607"/>
      <c r="AD14" s="1607"/>
      <c r="AE14" s="1607"/>
    </row>
    <row r="15" spans="12:31">
      <c r="L15" s="1637" t="s">
        <v>1292</v>
      </c>
      <c r="M15" s="1637"/>
      <c r="N15" s="1637"/>
      <c r="O15" s="1637"/>
      <c r="P15" s="1637"/>
      <c r="Q15" s="1637"/>
      <c r="R15" s="1637"/>
      <c r="S15" s="1637"/>
      <c r="T15" s="1637"/>
      <c r="U15" s="1637"/>
      <c r="V15" s="1637"/>
      <c r="W15" s="1637"/>
      <c r="X15" s="1637"/>
      <c r="Y15" s="1637"/>
      <c r="Z15" s="1637"/>
      <c r="AA15" s="1637"/>
      <c r="AB15" s="1637"/>
      <c r="AC15" s="1637"/>
      <c r="AD15" s="1637"/>
      <c r="AE15" s="1637"/>
    </row>
    <row r="16" spans="12:31" ht="7.5" customHeight="1">
      <c r="L16" s="41"/>
      <c r="M16" s="41"/>
      <c r="N16" s="41"/>
      <c r="O16" s="41"/>
      <c r="P16" s="41"/>
      <c r="Q16" s="41"/>
      <c r="R16" s="41"/>
      <c r="S16" s="41"/>
      <c r="T16" s="41"/>
      <c r="U16" s="41"/>
      <c r="V16" s="41"/>
      <c r="W16" s="41"/>
      <c r="X16" s="41"/>
      <c r="Y16" s="41"/>
      <c r="Z16" s="41"/>
      <c r="AA16" s="41"/>
      <c r="AB16" s="41"/>
      <c r="AC16" s="41"/>
      <c r="AD16" s="41"/>
      <c r="AE16" s="41"/>
    </row>
    <row r="17" spans="12:31" ht="16.2" thickBot="1">
      <c r="L17" s="426"/>
      <c r="M17" s="426"/>
      <c r="N17" s="426"/>
      <c r="O17" s="426"/>
      <c r="P17" s="426"/>
      <c r="Q17" s="426"/>
      <c r="R17" s="426"/>
      <c r="S17" s="426"/>
      <c r="T17" s="426"/>
      <c r="U17" s="426"/>
      <c r="V17" s="37" t="s">
        <v>1263</v>
      </c>
      <c r="W17" s="42"/>
      <c r="X17" s="42"/>
      <c r="AB17" s="426"/>
      <c r="AC17" s="426"/>
      <c r="AD17" s="426"/>
      <c r="AE17" s="426"/>
    </row>
    <row r="18" spans="12:31" ht="15.6" thickTop="1" thickBot="1">
      <c r="L18" s="426"/>
      <c r="M18" s="426"/>
      <c r="N18" s="426"/>
      <c r="O18" s="426"/>
      <c r="P18" s="426"/>
      <c r="Q18" s="426"/>
      <c r="R18" s="426"/>
      <c r="S18" s="426"/>
      <c r="T18" s="426"/>
      <c r="U18" s="426"/>
      <c r="V18" s="43"/>
      <c r="W18" s="44" t="s">
        <v>1242</v>
      </c>
      <c r="X18" s="45"/>
      <c r="AB18" s="426"/>
      <c r="AC18" s="426"/>
      <c r="AD18" s="426"/>
      <c r="AE18" s="426"/>
    </row>
    <row r="19" spans="12:31" ht="15.6" thickTop="1" thickBot="1">
      <c r="L19" s="426"/>
      <c r="M19" s="426"/>
      <c r="N19" s="426"/>
      <c r="O19" s="426"/>
      <c r="P19" s="426"/>
      <c r="Q19" s="426"/>
      <c r="R19" s="426"/>
      <c r="S19" s="426"/>
      <c r="T19" s="426"/>
      <c r="U19" s="426"/>
      <c r="V19" s="1087"/>
      <c r="W19" s="44" t="s">
        <v>1246</v>
      </c>
      <c r="X19" s="45"/>
      <c r="AB19" s="426"/>
      <c r="AC19" s="426"/>
      <c r="AD19" s="426"/>
      <c r="AE19" s="426"/>
    </row>
    <row r="20" spans="12:31" ht="15.6" thickTop="1" thickBot="1">
      <c r="L20" s="426"/>
      <c r="M20" s="426"/>
      <c r="N20" s="426"/>
      <c r="O20" s="426"/>
      <c r="P20" s="426"/>
      <c r="Q20" s="426"/>
      <c r="R20" s="426"/>
      <c r="S20" s="426"/>
      <c r="T20" s="426"/>
      <c r="U20" s="426"/>
      <c r="V20" s="1088"/>
      <c r="W20" s="44" t="s">
        <v>1247</v>
      </c>
      <c r="X20" s="45"/>
      <c r="AB20" s="426"/>
      <c r="AC20" s="426"/>
      <c r="AD20" s="426"/>
      <c r="AE20" s="426"/>
    </row>
    <row r="21" spans="12:31" ht="15.6" thickTop="1" thickBot="1">
      <c r="L21" s="426"/>
      <c r="M21" s="426"/>
      <c r="N21" s="426"/>
      <c r="O21" s="426"/>
      <c r="P21" s="426"/>
      <c r="Q21" s="426"/>
      <c r="R21" s="426"/>
      <c r="S21" s="426"/>
      <c r="T21" s="426"/>
      <c r="U21" s="426"/>
      <c r="V21" s="1166"/>
      <c r="W21" s="44" t="s">
        <v>1248</v>
      </c>
      <c r="X21" s="45"/>
      <c r="AB21" s="426"/>
      <c r="AC21" s="426"/>
      <c r="AD21" s="426"/>
      <c r="AE21" s="426"/>
    </row>
    <row r="22" spans="12:31" ht="15" thickTop="1">
      <c r="L22" s="426"/>
      <c r="M22" s="426"/>
      <c r="N22" s="426"/>
      <c r="O22" s="426"/>
      <c r="P22" s="426"/>
      <c r="Q22" s="426"/>
      <c r="R22" s="426"/>
      <c r="S22" s="426"/>
      <c r="T22" s="426"/>
      <c r="U22" s="426"/>
      <c r="V22" s="426"/>
      <c r="W22" s="426"/>
      <c r="X22" s="426"/>
      <c r="Y22" s="426"/>
      <c r="Z22" s="426"/>
      <c r="AA22" s="426"/>
      <c r="AB22" s="426"/>
      <c r="AC22" s="426"/>
      <c r="AD22" s="426"/>
      <c r="AE22" s="426"/>
    </row>
    <row r="23" spans="12:31">
      <c r="L23" s="1632" t="s">
        <v>1293</v>
      </c>
      <c r="M23" s="1632"/>
      <c r="N23" s="1632"/>
      <c r="O23" s="1632"/>
      <c r="P23" s="1632"/>
      <c r="Q23" s="1632"/>
      <c r="R23" s="1632"/>
      <c r="S23" s="1632"/>
      <c r="T23" s="1632"/>
      <c r="U23" s="1632"/>
      <c r="V23" s="1632"/>
      <c r="W23" s="1632"/>
      <c r="X23" s="1632"/>
      <c r="Y23" s="1632"/>
      <c r="Z23" s="1632"/>
      <c r="AA23" s="1632"/>
      <c r="AB23" s="1632"/>
      <c r="AC23" s="1633" t="s">
        <v>1631</v>
      </c>
      <c r="AD23" s="1634"/>
      <c r="AE23" s="426"/>
    </row>
    <row r="24" spans="12:31">
      <c r="L24" s="426"/>
      <c r="M24" s="426"/>
      <c r="N24" s="426"/>
      <c r="O24" s="426"/>
      <c r="P24" s="426"/>
      <c r="Q24" s="426"/>
      <c r="R24" s="426"/>
      <c r="S24" s="426"/>
      <c r="T24" s="426"/>
      <c r="U24" s="426"/>
      <c r="V24" s="426"/>
      <c r="W24" s="426"/>
      <c r="X24" s="426"/>
      <c r="Y24" s="426"/>
      <c r="Z24" s="426"/>
      <c r="AA24" s="426"/>
      <c r="AB24" s="426"/>
      <c r="AC24" s="426"/>
      <c r="AD24" s="426"/>
      <c r="AE24" s="426"/>
    </row>
    <row r="25" spans="12:31" hidden="1"/>
    <row r="26" spans="12:31" hidden="1"/>
    <row r="27" spans="12:31" hidden="1"/>
    <row r="28" spans="12:31" hidden="1"/>
    <row r="29" spans="12:31" hidden="1"/>
    <row r="30" spans="12:31" hidden="1"/>
    <row r="31" spans="12:31" hidden="1"/>
    <row r="32" spans="12:31"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row r="58"/>
    <row r="59"/>
    <row r="60"/>
    <row r="61"/>
    <row r="62"/>
    <row r="63"/>
    <row r="64"/>
    <row r="65"/>
    <row r="66"/>
    <row r="67"/>
    <row r="68"/>
    <row r="69"/>
    <row r="70"/>
  </sheetData>
  <sheetProtection selectLockedCells="1"/>
  <mergeCells count="9">
    <mergeCell ref="L8:AE8"/>
    <mergeCell ref="L23:AB23"/>
    <mergeCell ref="AC23:AD23"/>
    <mergeCell ref="L11:AE11"/>
    <mergeCell ref="L15:AE15"/>
    <mergeCell ref="L9:AE9"/>
    <mergeCell ref="L13:AE13"/>
    <mergeCell ref="L12:AE12"/>
    <mergeCell ref="L14:AE14"/>
  </mergeCells>
  <hyperlinks>
    <hyperlink ref="AC23" r:id="rId1" xr:uid="{00000000-0004-0000-0200-000000000000}"/>
  </hyperlinks>
  <pageMargins left="0.511811024" right="0.511811024" top="0.78740157499999996" bottom="0.78740157499999996" header="0.31496062000000002" footer="0.31496062000000002"/>
  <pageSetup paperSize="9" orientation="portrait" r:id="rId2"/>
  <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1">
    <tabColor rgb="FFF6882E"/>
  </sheetPr>
  <dimension ref="A1:CG47"/>
  <sheetViews>
    <sheetView showGridLines="0" zoomScale="90" zoomScaleNormal="90" workbookViewId="0">
      <selection activeCell="E27" sqref="E27"/>
    </sheetView>
  </sheetViews>
  <sheetFormatPr defaultColWidth="8.88671875" defaultRowHeight="14.4" zeroHeight="1"/>
  <cols>
    <col min="1" max="1" width="3" style="5" customWidth="1"/>
    <col min="2" max="2" width="27.88671875" style="5" customWidth="1"/>
    <col min="3" max="3" width="44" style="5" customWidth="1"/>
    <col min="4" max="4" width="15.6640625" style="5" customWidth="1"/>
    <col min="5" max="5" width="64.33203125" style="5" customWidth="1"/>
    <col min="6" max="6" width="14.109375" style="5" customWidth="1"/>
    <col min="7" max="7" width="15" style="5" customWidth="1"/>
    <col min="8" max="8" width="9.88671875" style="5" customWidth="1"/>
    <col min="9" max="9" width="8.88671875" style="5"/>
    <col min="10" max="85" width="8.88671875" style="9"/>
    <col min="86" max="16384" width="8.88671875" style="5"/>
  </cols>
  <sheetData>
    <row r="1" spans="1:85"/>
    <row r="2" spans="1:85"/>
    <row r="3" spans="1:85"/>
    <row r="4" spans="1:85"/>
    <row r="5" spans="1:85"/>
    <row r="6" spans="1:85"/>
    <row r="7" spans="1:85"/>
    <row r="8" spans="1:85"/>
    <row r="9" spans="1:85" ht="15" thickBot="1"/>
    <row r="10" spans="1:85" s="4" customFormat="1" ht="16.2" thickTop="1">
      <c r="A10" s="3"/>
      <c r="B10" s="1645" t="s">
        <v>487</v>
      </c>
      <c r="C10" s="1646"/>
      <c r="D10" s="1646"/>
      <c r="E10" s="1646"/>
      <c r="F10" s="1646"/>
      <c r="G10" s="1646"/>
      <c r="H10" s="1647"/>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row>
    <row r="11" spans="1:85" ht="15.6">
      <c r="B11" s="1089" t="s">
        <v>483</v>
      </c>
      <c r="C11" s="7"/>
      <c r="D11" s="7"/>
      <c r="E11" s="7"/>
      <c r="F11" s="7"/>
      <c r="G11" s="7"/>
      <c r="H11" s="8"/>
    </row>
    <row r="12" spans="1:85">
      <c r="B12" s="10" t="s">
        <v>4</v>
      </c>
      <c r="C12" s="1648"/>
      <c r="D12" s="1649"/>
      <c r="E12" s="1650"/>
      <c r="F12" s="7"/>
      <c r="G12" s="7"/>
      <c r="H12" s="8"/>
    </row>
    <row r="13" spans="1:85">
      <c r="B13" s="11" t="s">
        <v>484</v>
      </c>
      <c r="C13" s="1648"/>
      <c r="D13" s="1649"/>
      <c r="E13" s="1650"/>
      <c r="F13" s="7"/>
      <c r="G13" s="7"/>
      <c r="H13" s="8"/>
    </row>
    <row r="14" spans="1:85">
      <c r="B14" s="11" t="s">
        <v>1174</v>
      </c>
      <c r="C14" s="1648"/>
      <c r="D14" s="1649"/>
      <c r="E14" s="1650"/>
      <c r="F14" s="7"/>
      <c r="G14" s="7"/>
      <c r="H14" s="8"/>
    </row>
    <row r="15" spans="1:85">
      <c r="B15" s="12"/>
      <c r="C15" s="13"/>
      <c r="D15" s="7"/>
      <c r="E15" s="7"/>
      <c r="F15" s="7"/>
      <c r="G15" s="7"/>
      <c r="H15" s="8"/>
    </row>
    <row r="16" spans="1:85" ht="15.6">
      <c r="B16" s="1090" t="s">
        <v>486</v>
      </c>
      <c r="C16" s="13"/>
      <c r="D16" s="7"/>
      <c r="E16" s="7"/>
      <c r="F16" s="7"/>
      <c r="G16" s="7"/>
      <c r="H16" s="8"/>
    </row>
    <row r="17" spans="2:85">
      <c r="B17" s="1651"/>
      <c r="C17" s="1651"/>
      <c r="D17" s="1651"/>
      <c r="E17" s="1651"/>
      <c r="F17" s="1651"/>
      <c r="G17" s="1651"/>
      <c r="H17" s="1651"/>
    </row>
    <row r="18" spans="2:85" s="14" customFormat="1">
      <c r="B18" s="1651"/>
      <c r="C18" s="1651"/>
      <c r="D18" s="1651"/>
      <c r="E18" s="1651"/>
      <c r="F18" s="1651"/>
      <c r="G18" s="1651"/>
      <c r="H18" s="1651"/>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row>
    <row r="19" spans="2:85" s="9" customFormat="1">
      <c r="B19" s="15"/>
      <c r="C19" s="16"/>
      <c r="D19" s="16"/>
      <c r="E19" s="16"/>
      <c r="F19" s="16"/>
      <c r="G19" s="16"/>
      <c r="H19" s="17"/>
    </row>
    <row r="20" spans="2:85" ht="15.6">
      <c r="B20" s="1642" t="s">
        <v>485</v>
      </c>
      <c r="C20" s="1643"/>
      <c r="D20" s="1643"/>
      <c r="E20" s="1643"/>
      <c r="F20" s="1643"/>
      <c r="G20" s="1643"/>
      <c r="H20" s="1644"/>
    </row>
    <row r="21" spans="2:85">
      <c r="B21" s="11" t="s">
        <v>5</v>
      </c>
      <c r="C21" s="18" t="s">
        <v>12</v>
      </c>
      <c r="D21" s="19" t="s">
        <v>1294</v>
      </c>
      <c r="E21" s="1639"/>
      <c r="F21" s="20"/>
      <c r="G21" s="7"/>
      <c r="H21" s="8"/>
    </row>
    <row r="22" spans="2:85">
      <c r="B22" s="11" t="s">
        <v>6</v>
      </c>
      <c r="C22" s="18" t="s">
        <v>12</v>
      </c>
      <c r="D22" s="21"/>
      <c r="E22" s="1640"/>
      <c r="F22" s="20"/>
      <c r="G22" s="7"/>
      <c r="H22" s="8"/>
    </row>
    <row r="23" spans="2:85" ht="15" hidden="1" customHeight="1">
      <c r="B23" s="22" t="s">
        <v>10</v>
      </c>
      <c r="C23" s="23"/>
      <c r="D23" s="24" t="s">
        <v>1244</v>
      </c>
      <c r="E23" s="1640"/>
      <c r="F23" s="7"/>
      <c r="G23" s="7"/>
      <c r="H23" s="8"/>
    </row>
    <row r="24" spans="2:85">
      <c r="B24" s="25" t="s">
        <v>7</v>
      </c>
      <c r="C24" s="26" t="s">
        <v>12</v>
      </c>
      <c r="D24" s="24"/>
      <c r="E24" s="1640"/>
      <c r="F24" s="7"/>
      <c r="G24" s="7"/>
      <c r="H24" s="8"/>
    </row>
    <row r="25" spans="2:85" ht="15.75" customHeight="1">
      <c r="B25" s="25" t="s">
        <v>8</v>
      </c>
      <c r="C25" s="27"/>
      <c r="D25" s="24"/>
      <c r="E25" s="1640"/>
      <c r="F25" s="7"/>
      <c r="G25" s="7"/>
      <c r="H25" s="8"/>
    </row>
    <row r="26" spans="2:85">
      <c r="B26" s="25" t="s">
        <v>9</v>
      </c>
      <c r="C26" s="27"/>
      <c r="D26" s="24"/>
      <c r="E26" s="1641"/>
      <c r="F26" s="7"/>
      <c r="G26" s="7"/>
      <c r="H26" s="8"/>
    </row>
    <row r="27" spans="2:85" ht="125.25" customHeight="1">
      <c r="B27" s="28" t="s">
        <v>11</v>
      </c>
      <c r="C27" s="210"/>
      <c r="D27" s="24"/>
      <c r="E27" s="29"/>
      <c r="F27" s="7"/>
      <c r="G27" s="7"/>
      <c r="H27" s="8"/>
      <c r="I27" s="7"/>
    </row>
    <row r="28" spans="2:85" ht="22.5" customHeight="1">
      <c r="B28" s="30"/>
      <c r="C28" s="13"/>
      <c r="D28" s="13"/>
      <c r="E28" s="20"/>
      <c r="F28" s="7"/>
      <c r="G28" s="31"/>
      <c r="H28" s="32"/>
      <c r="I28" s="7"/>
    </row>
    <row r="29" spans="2:85" ht="15" thickBot="1">
      <c r="B29" s="33"/>
      <c r="C29" s="34"/>
      <c r="D29" s="34"/>
      <c r="E29" s="34"/>
      <c r="F29" s="35"/>
      <c r="G29" s="35"/>
      <c r="H29" s="36"/>
    </row>
    <row r="30" spans="2:85" ht="15" thickTop="1">
      <c r="B30" s="14"/>
      <c r="C30" s="14"/>
      <c r="D30" s="14"/>
      <c r="E30" s="14"/>
    </row>
    <row r="31" spans="2:85" hidden="1"/>
    <row r="32" spans="2:85" hidden="1"/>
    <row r="33" spans="3:6" hidden="1">
      <c r="C33" s="14"/>
      <c r="D33" s="14"/>
      <c r="E33" s="14"/>
      <c r="F33" s="14"/>
    </row>
    <row r="34" spans="3:6" hidden="1">
      <c r="C34" s="14"/>
      <c r="D34" s="14"/>
      <c r="E34" s="14"/>
      <c r="F34" s="14"/>
    </row>
    <row r="35" spans="3:6" hidden="1">
      <c r="C35" s="14"/>
      <c r="D35" s="14"/>
      <c r="E35" s="14"/>
      <c r="F35" s="14"/>
    </row>
    <row r="36" spans="3:6" hidden="1"/>
    <row r="37" spans="3:6"/>
    <row r="38" spans="3:6"/>
    <row r="39" spans="3:6"/>
    <row r="40" spans="3:6"/>
    <row r="41" spans="3:6"/>
    <row r="42" spans="3:6"/>
    <row r="43" spans="3:6"/>
    <row r="44" spans="3:6"/>
    <row r="45" spans="3:6"/>
    <row r="46" spans="3:6"/>
    <row r="47" spans="3:6"/>
  </sheetData>
  <mergeCells count="7">
    <mergeCell ref="E21:E26"/>
    <mergeCell ref="B20:H20"/>
    <mergeCell ref="B10:H10"/>
    <mergeCell ref="C12:E12"/>
    <mergeCell ref="C13:E13"/>
    <mergeCell ref="C14:E14"/>
    <mergeCell ref="B17:H18"/>
  </mergeCells>
  <conditionalFormatting sqref="C25">
    <cfRule type="expression" dxfId="8" priority="1">
      <formula>$C$24="Direcionada a Projeto"</formula>
    </cfRule>
  </conditionalFormatting>
  <dataValidations xWindow="333" yWindow="450" count="3">
    <dataValidation type="list" allowBlank="1" showInputMessage="1" showErrorMessage="1" sqref="C21 C23" xr:uid="{00000000-0002-0000-0300-000000000000}">
      <formula1>"Selecione, Empresa, Unidade de negócio, Linha de produto/serviço, Planta industrial, Processo produtivo, Propriedade, Outros"</formula1>
    </dataValidation>
    <dataValidation type="list" allowBlank="1" showInputMessage="1" showErrorMessage="1" sqref="C22" xr:uid="{00000000-0002-0000-0300-000001000000}">
      <formula1>"Selecione,Inventário, Projeto"</formula1>
    </dataValidation>
    <dataValidation type="list" allowBlank="1" showInputMessage="1" showErrorMessage="1" sqref="C24" xr:uid="{00000000-0002-0000-0300-000002000000}">
      <formula1>"Selecione, Operações próprias, Cadeia de Valor - Downstream, Cadeia de Valor - Upstream, "</formula1>
    </dataValidation>
  </dataValidations>
  <pageMargins left="0.511811024" right="0.511811024" top="0.78740157499999996" bottom="0.78740157499999996" header="0.31496062000000002" footer="0.314960620000000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2" r:id="rId4" name="Check Box 38">
              <controlPr defaultSize="0" autoFill="0" autoLine="0" autoPict="0">
                <anchor moveWithCells="1">
                  <from>
                    <xdr:col>2</xdr:col>
                    <xdr:colOff>45720</xdr:colOff>
                    <xdr:row>26</xdr:row>
                    <xdr:rowOff>175260</xdr:rowOff>
                  </from>
                  <to>
                    <xdr:col>2</xdr:col>
                    <xdr:colOff>2788920</xdr:colOff>
                    <xdr:row>26</xdr:row>
                    <xdr:rowOff>335280</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2</xdr:col>
                    <xdr:colOff>45720</xdr:colOff>
                    <xdr:row>26</xdr:row>
                    <xdr:rowOff>335280</xdr:rowOff>
                  </from>
                  <to>
                    <xdr:col>2</xdr:col>
                    <xdr:colOff>2827020</xdr:colOff>
                    <xdr:row>26</xdr:row>
                    <xdr:rowOff>525780</xdr:rowOff>
                  </to>
                </anchor>
              </controlPr>
            </control>
          </mc:Choice>
        </mc:AlternateContent>
        <mc:AlternateContent xmlns:mc="http://schemas.openxmlformats.org/markup-compatibility/2006">
          <mc:Choice Requires="x14">
            <control shapeId="1064" r:id="rId6" name="Check Box 40">
              <controlPr defaultSize="0" autoFill="0" autoLine="0" autoPict="0">
                <anchor moveWithCells="1">
                  <from>
                    <xdr:col>2</xdr:col>
                    <xdr:colOff>45720</xdr:colOff>
                    <xdr:row>26</xdr:row>
                    <xdr:rowOff>495300</xdr:rowOff>
                  </from>
                  <to>
                    <xdr:col>2</xdr:col>
                    <xdr:colOff>2849880</xdr:colOff>
                    <xdr:row>26</xdr:row>
                    <xdr:rowOff>708660</xdr:rowOff>
                  </to>
                </anchor>
              </controlPr>
            </control>
          </mc:Choice>
        </mc:AlternateContent>
        <mc:AlternateContent xmlns:mc="http://schemas.openxmlformats.org/markup-compatibility/2006">
          <mc:Choice Requires="x14">
            <control shapeId="1065" r:id="rId7" name="Check Box 41">
              <controlPr defaultSize="0" autoFill="0" autoLine="0" autoPict="0">
                <anchor moveWithCells="1">
                  <from>
                    <xdr:col>2</xdr:col>
                    <xdr:colOff>45720</xdr:colOff>
                    <xdr:row>25</xdr:row>
                    <xdr:rowOff>160020</xdr:rowOff>
                  </from>
                  <to>
                    <xdr:col>2</xdr:col>
                    <xdr:colOff>2918460</xdr:colOff>
                    <xdr:row>26</xdr:row>
                    <xdr:rowOff>190500</xdr:rowOff>
                  </to>
                </anchor>
              </controlPr>
            </control>
          </mc:Choice>
        </mc:AlternateContent>
        <mc:AlternateContent xmlns:mc="http://schemas.openxmlformats.org/markup-compatibility/2006">
          <mc:Choice Requires="x14">
            <control shapeId="1066" r:id="rId8" name="Check Box 42">
              <controlPr defaultSize="0" autoFill="0" autoLine="0" autoPict="0">
                <anchor moveWithCells="1">
                  <from>
                    <xdr:col>2</xdr:col>
                    <xdr:colOff>45720</xdr:colOff>
                    <xdr:row>26</xdr:row>
                    <xdr:rowOff>670560</xdr:rowOff>
                  </from>
                  <to>
                    <xdr:col>2</xdr:col>
                    <xdr:colOff>2865120</xdr:colOff>
                    <xdr:row>26</xdr:row>
                    <xdr:rowOff>868680</xdr:rowOff>
                  </to>
                </anchor>
              </controlPr>
            </control>
          </mc:Choice>
        </mc:AlternateContent>
        <mc:AlternateContent xmlns:mc="http://schemas.openxmlformats.org/markup-compatibility/2006">
          <mc:Choice Requires="x14">
            <control shapeId="1067" r:id="rId9" name="Check Box 43">
              <controlPr defaultSize="0" autoFill="0" autoLine="0" autoPict="0">
                <anchor moveWithCells="1">
                  <from>
                    <xdr:col>2</xdr:col>
                    <xdr:colOff>45720</xdr:colOff>
                    <xdr:row>26</xdr:row>
                    <xdr:rowOff>845820</xdr:rowOff>
                  </from>
                  <to>
                    <xdr:col>2</xdr:col>
                    <xdr:colOff>2887980</xdr:colOff>
                    <xdr:row>26</xdr:row>
                    <xdr:rowOff>1028700</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from>
                    <xdr:col>2</xdr:col>
                    <xdr:colOff>45720</xdr:colOff>
                    <xdr:row>26</xdr:row>
                    <xdr:rowOff>1028700</xdr:rowOff>
                  </from>
                  <to>
                    <xdr:col>3</xdr:col>
                    <xdr:colOff>0</xdr:colOff>
                    <xdr:row>26</xdr:row>
                    <xdr:rowOff>1226820</xdr:rowOff>
                  </to>
                </anchor>
              </controlPr>
            </control>
          </mc:Choice>
        </mc:AlternateContent>
        <mc:AlternateContent xmlns:mc="http://schemas.openxmlformats.org/markup-compatibility/2006">
          <mc:Choice Requires="x14">
            <control shapeId="1069" r:id="rId11" name="Check Box 45">
              <controlPr defaultSize="0" autoFill="0" autoLine="0" autoPict="0">
                <anchor moveWithCells="1">
                  <from>
                    <xdr:col>2</xdr:col>
                    <xdr:colOff>45720</xdr:colOff>
                    <xdr:row>26</xdr:row>
                    <xdr:rowOff>1211580</xdr:rowOff>
                  </from>
                  <to>
                    <xdr:col>3</xdr:col>
                    <xdr:colOff>30480</xdr:colOff>
                    <xdr:row>26</xdr:row>
                    <xdr:rowOff>1432560</xdr:rowOff>
                  </to>
                </anchor>
              </controlPr>
            </control>
          </mc:Choice>
        </mc:AlternateContent>
        <mc:AlternateContent xmlns:mc="http://schemas.openxmlformats.org/markup-compatibility/2006">
          <mc:Choice Requires="x14">
            <control shapeId="1070" r:id="rId12" name="Check Box 46">
              <controlPr defaultSize="0" autoFill="0" autoLine="0" autoPict="0">
                <anchor moveWithCells="1">
                  <from>
                    <xdr:col>2</xdr:col>
                    <xdr:colOff>45720</xdr:colOff>
                    <xdr:row>26</xdr:row>
                    <xdr:rowOff>1409700</xdr:rowOff>
                  </from>
                  <to>
                    <xdr:col>2</xdr:col>
                    <xdr:colOff>2849880</xdr:colOff>
                    <xdr:row>26</xdr:row>
                    <xdr:rowOff>1584960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3978"/>
  </sheetPr>
  <dimension ref="A1:AB127"/>
  <sheetViews>
    <sheetView showGridLines="0" zoomScale="80" zoomScaleNormal="80" workbookViewId="0">
      <selection activeCell="M29" sqref="M29"/>
    </sheetView>
  </sheetViews>
  <sheetFormatPr defaultColWidth="0" defaultRowHeight="14.4" zeroHeight="1" outlineLevelRow="1"/>
  <cols>
    <col min="1" max="1" width="5.109375" style="5" customWidth="1"/>
    <col min="2" max="2" width="15.109375" style="5" bestFit="1" customWidth="1"/>
    <col min="3" max="5" width="14.6640625" style="5" customWidth="1"/>
    <col min="6" max="6" width="14.33203125" style="5" customWidth="1"/>
    <col min="7" max="7" width="16" style="5" customWidth="1"/>
    <col min="8" max="8" width="13.88671875" style="5" customWidth="1"/>
    <col min="9" max="9" width="17.109375" style="5" customWidth="1"/>
    <col min="10" max="10" width="16.6640625" style="5" customWidth="1"/>
    <col min="11" max="11" width="26" style="5" customWidth="1"/>
    <col min="12" max="12" width="13.6640625" style="5" customWidth="1"/>
    <col min="13" max="13" width="8.33203125" style="5" customWidth="1"/>
    <col min="14" max="14" width="9.109375" style="5" customWidth="1"/>
    <col min="15" max="16384" width="9.109375" style="5" hidden="1"/>
  </cols>
  <sheetData>
    <row r="1" spans="1:13"/>
    <row r="2" spans="1:13"/>
    <row r="3" spans="1:13"/>
    <row r="4" spans="1:13"/>
    <row r="5" spans="1:13"/>
    <row r="6" spans="1:13"/>
    <row r="7" spans="1:13" ht="15" thickBot="1"/>
    <row r="8" spans="1:13" ht="16.2" thickTop="1">
      <c r="A8" s="1678" t="s">
        <v>1305</v>
      </c>
      <c r="B8" s="1679"/>
      <c r="C8" s="1679"/>
      <c r="D8" s="1679"/>
      <c r="E8" s="1679"/>
      <c r="F8" s="1679"/>
      <c r="G8" s="1679"/>
      <c r="H8" s="1679"/>
      <c r="I8" s="1679"/>
      <c r="J8" s="1679"/>
      <c r="K8" s="1679"/>
      <c r="L8" s="1679"/>
      <c r="M8" s="1680"/>
    </row>
    <row r="9" spans="1:13" ht="18">
      <c r="A9" s="128"/>
      <c r="B9" s="7"/>
      <c r="C9" s="112"/>
      <c r="D9" s="112"/>
      <c r="E9" s="112"/>
      <c r="F9" s="112"/>
      <c r="G9" s="112"/>
      <c r="H9" s="112"/>
      <c r="I9" s="112"/>
      <c r="J9" s="130"/>
      <c r="K9" s="131"/>
      <c r="L9" s="131"/>
      <c r="M9" s="132"/>
    </row>
    <row r="10" spans="1:13" ht="15.6">
      <c r="A10" s="128"/>
      <c r="B10" s="7"/>
      <c r="C10" s="7"/>
      <c r="D10" s="1192" t="s">
        <v>1124</v>
      </c>
      <c r="E10" s="7"/>
      <c r="F10" s="133"/>
      <c r="G10" s="133"/>
      <c r="H10" s="133"/>
      <c r="I10" s="133"/>
      <c r="J10" s="133"/>
      <c r="K10" s="133"/>
      <c r="L10" s="131"/>
      <c r="M10" s="132"/>
    </row>
    <row r="11" spans="1:13" ht="51" customHeight="1">
      <c r="A11" s="128"/>
      <c r="B11" s="112"/>
      <c r="C11" s="7"/>
      <c r="D11" s="1677" t="s">
        <v>1687</v>
      </c>
      <c r="E11" s="1677"/>
      <c r="F11" s="1677"/>
      <c r="G11" s="1677"/>
      <c r="H11" s="1677"/>
      <c r="I11" s="1677"/>
      <c r="J11" s="1677"/>
      <c r="K11" s="1677"/>
      <c r="L11" s="1677"/>
      <c r="M11" s="132"/>
    </row>
    <row r="12" spans="1:13" ht="20.25" customHeight="1">
      <c r="A12" s="128"/>
      <c r="B12" s="1149" t="s">
        <v>1688</v>
      </c>
      <c r="C12" s="7"/>
      <c r="D12" s="1552"/>
      <c r="E12" s="1552"/>
      <c r="F12" s="1552"/>
      <c r="G12" s="1552"/>
      <c r="H12" s="1552"/>
      <c r="I12" s="1552"/>
      <c r="J12" s="1552"/>
      <c r="K12" s="1552"/>
      <c r="L12" s="1552"/>
      <c r="M12" s="132"/>
    </row>
    <row r="13" spans="1:13" ht="15.6" outlineLevel="1">
      <c r="A13" s="1663" t="s">
        <v>488</v>
      </c>
      <c r="B13" s="1664"/>
      <c r="C13" s="1664"/>
      <c r="D13" s="1664"/>
      <c r="E13" s="1664"/>
      <c r="F13" s="1664"/>
      <c r="G13" s="1664"/>
      <c r="H13" s="1664"/>
      <c r="I13" s="1664"/>
      <c r="J13" s="1664"/>
      <c r="K13" s="1664"/>
      <c r="L13" s="1664"/>
      <c r="M13" s="1665"/>
    </row>
    <row r="14" spans="1:13" ht="15" outlineLevel="1" thickBot="1">
      <c r="A14" s="128"/>
      <c r="B14" s="112"/>
      <c r="C14" s="112"/>
      <c r="D14" s="112"/>
      <c r="E14" s="112"/>
      <c r="F14" s="112"/>
      <c r="G14" s="112"/>
      <c r="H14" s="112"/>
      <c r="I14" s="112"/>
      <c r="J14" s="112"/>
      <c r="K14" s="112"/>
      <c r="L14" s="112"/>
      <c r="M14" s="135"/>
    </row>
    <row r="15" spans="1:13" outlineLevel="1">
      <c r="A15" s="128"/>
      <c r="B15" s="112"/>
      <c r="C15" s="1091" t="s">
        <v>499</v>
      </c>
      <c r="D15" s="61"/>
      <c r="E15" s="61"/>
      <c r="F15" s="61"/>
      <c r="G15" s="61"/>
      <c r="H15" s="61"/>
      <c r="I15" s="1092" t="s">
        <v>492</v>
      </c>
      <c r="J15" s="1092" t="s">
        <v>24</v>
      </c>
      <c r="K15" s="1093" t="s">
        <v>501</v>
      </c>
      <c r="L15" s="112"/>
      <c r="M15" s="135"/>
    </row>
    <row r="16" spans="1:13" outlineLevel="1">
      <c r="A16" s="128"/>
      <c r="B16" s="112"/>
      <c r="C16" s="1671" t="s">
        <v>1671</v>
      </c>
      <c r="D16" s="1672"/>
      <c r="E16" s="1672"/>
      <c r="F16" s="1672"/>
      <c r="G16" s="1672"/>
      <c r="H16" s="1672"/>
      <c r="I16" s="136"/>
      <c r="J16" s="1569"/>
      <c r="K16" s="137"/>
      <c r="L16" s="112"/>
      <c r="M16" s="135"/>
    </row>
    <row r="17" spans="1:13" ht="15.6" outlineLevel="1">
      <c r="A17" s="128"/>
      <c r="B17" s="112"/>
      <c r="C17" s="138" t="s">
        <v>1326</v>
      </c>
      <c r="D17" s="1180"/>
      <c r="E17" s="1180"/>
      <c r="F17" s="1180"/>
      <c r="G17" s="1180"/>
      <c r="H17" s="140"/>
      <c r="I17" s="1547"/>
      <c r="J17" s="1545"/>
      <c r="K17" s="1546"/>
      <c r="L17" s="112"/>
      <c r="M17" s="135"/>
    </row>
    <row r="18" spans="1:13" outlineLevel="1">
      <c r="A18" s="128"/>
      <c r="B18" s="112"/>
      <c r="C18" s="143" t="s">
        <v>1327</v>
      </c>
      <c r="D18" s="129"/>
      <c r="E18" s="144"/>
      <c r="F18" s="144"/>
      <c r="G18" s="129"/>
      <c r="H18" s="129"/>
      <c r="I18" s="1547"/>
      <c r="J18" s="1545"/>
      <c r="K18" s="1546"/>
      <c r="L18" s="112"/>
      <c r="M18" s="135"/>
    </row>
    <row r="19" spans="1:13" outlineLevel="1">
      <c r="A19" s="128"/>
      <c r="B19" s="112"/>
      <c r="C19" s="146" t="s">
        <v>1328</v>
      </c>
      <c r="D19" s="129"/>
      <c r="E19" s="144"/>
      <c r="F19" s="144"/>
      <c r="G19" s="129"/>
      <c r="H19" s="129"/>
      <c r="I19" s="1547"/>
      <c r="J19" s="1549">
        <f>J18</f>
        <v>0</v>
      </c>
      <c r="K19" s="1546"/>
      <c r="L19" s="112"/>
      <c r="M19" s="135"/>
    </row>
    <row r="20" spans="1:13" outlineLevel="1">
      <c r="A20" s="128"/>
      <c r="B20" s="112"/>
      <c r="C20" s="138" t="s">
        <v>1329</v>
      </c>
      <c r="D20" s="1180"/>
      <c r="E20" s="1180"/>
      <c r="F20" s="1180"/>
      <c r="G20" s="1180"/>
      <c r="H20" s="140"/>
      <c r="I20" s="1548">
        <f>IFERROR(I19+I18,"-")</f>
        <v>0</v>
      </c>
      <c r="J20" s="1549">
        <f>J18</f>
        <v>0</v>
      </c>
      <c r="K20" s="1546"/>
      <c r="L20" s="112"/>
      <c r="M20" s="135"/>
    </row>
    <row r="21" spans="1:13" outlineLevel="1">
      <c r="A21" s="128"/>
      <c r="B21" s="112"/>
      <c r="C21" s="1176" t="s">
        <v>1683</v>
      </c>
      <c r="D21" s="1180"/>
      <c r="E21" s="1180"/>
      <c r="F21" s="1180"/>
      <c r="G21" s="1180"/>
      <c r="H21" s="140"/>
      <c r="I21" s="147"/>
      <c r="J21" s="145"/>
      <c r="K21" s="149"/>
      <c r="L21" s="112"/>
      <c r="M21" s="135"/>
    </row>
    <row r="22" spans="1:13" outlineLevel="1">
      <c r="A22" s="128"/>
      <c r="B22" s="112"/>
      <c r="C22" s="1671" t="s">
        <v>1680</v>
      </c>
      <c r="D22" s="1672"/>
      <c r="E22" s="1672"/>
      <c r="F22" s="1672"/>
      <c r="G22" s="1672"/>
      <c r="H22" s="1672"/>
      <c r="I22" s="141"/>
      <c r="J22" s="141"/>
      <c r="K22" s="157" t="s">
        <v>1307</v>
      </c>
      <c r="L22" s="112"/>
      <c r="M22" s="135"/>
    </row>
    <row r="23" spans="1:13" ht="15.6" outlineLevel="1">
      <c r="A23" s="128"/>
      <c r="B23" s="112"/>
      <c r="C23" s="1526" t="s">
        <v>1661</v>
      </c>
      <c r="D23" s="129"/>
      <c r="E23" s="129"/>
      <c r="F23" s="129"/>
      <c r="G23" s="129"/>
      <c r="H23" s="129"/>
      <c r="I23" s="141"/>
      <c r="J23" s="145" t="s">
        <v>13</v>
      </c>
      <c r="K23" s="142"/>
      <c r="L23" s="112"/>
      <c r="M23" s="135"/>
    </row>
    <row r="24" spans="1:13" outlineLevel="1">
      <c r="A24" s="128"/>
      <c r="B24" s="112"/>
      <c r="C24" s="1681" t="s">
        <v>1660</v>
      </c>
      <c r="D24" s="1682"/>
      <c r="E24" s="1682"/>
      <c r="F24" s="1682"/>
      <c r="G24" s="1682"/>
      <c r="H24" s="1682"/>
      <c r="I24" s="141"/>
      <c r="J24" s="145" t="s">
        <v>13</v>
      </c>
      <c r="K24" s="142"/>
      <c r="L24" s="112"/>
      <c r="M24" s="135"/>
    </row>
    <row r="25" spans="1:13" outlineLevel="1">
      <c r="A25" s="128"/>
      <c r="B25" s="112"/>
      <c r="C25" s="1176" t="s">
        <v>1</v>
      </c>
      <c r="D25" s="83"/>
      <c r="E25" s="83"/>
      <c r="F25" s="83"/>
      <c r="G25" s="83"/>
      <c r="H25" s="83"/>
      <c r="I25" s="148"/>
      <c r="J25" s="145"/>
      <c r="K25" s="153"/>
      <c r="L25" s="112"/>
      <c r="M25" s="135"/>
    </row>
    <row r="26" spans="1:13" ht="15.6" outlineLevel="1">
      <c r="A26" s="128"/>
      <c r="B26" s="112"/>
      <c r="C26" s="154" t="s">
        <v>1662</v>
      </c>
      <c r="D26" s="155"/>
      <c r="E26" s="155"/>
      <c r="F26" s="155"/>
      <c r="G26" s="155"/>
      <c r="H26" s="155"/>
      <c r="I26" s="156"/>
      <c r="J26" s="1527" t="str">
        <f>IF(J22=0,"",J22)</f>
        <v/>
      </c>
      <c r="K26" s="157" t="s">
        <v>1307</v>
      </c>
      <c r="L26" s="112"/>
      <c r="M26" s="135"/>
    </row>
    <row r="27" spans="1:13" ht="15.6" outlineLevel="1">
      <c r="A27" s="128"/>
      <c r="B27" s="112"/>
      <c r="C27" s="1683" t="s">
        <v>1663</v>
      </c>
      <c r="D27" s="1684"/>
      <c r="E27" s="1684"/>
      <c r="F27" s="1684"/>
      <c r="G27" s="1684"/>
      <c r="H27" s="1684"/>
      <c r="I27" s="141"/>
      <c r="J27" s="145" t="s">
        <v>13</v>
      </c>
      <c r="K27" s="152" t="s">
        <v>1306</v>
      </c>
      <c r="L27" s="112"/>
      <c r="M27" s="135"/>
    </row>
    <row r="28" spans="1:13" ht="32.25" customHeight="1" outlineLevel="1">
      <c r="A28" s="128"/>
      <c r="B28" s="112"/>
      <c r="C28" s="1681" t="s">
        <v>1664</v>
      </c>
      <c r="D28" s="1685"/>
      <c r="E28" s="1685"/>
      <c r="F28" s="1685"/>
      <c r="G28" s="1685"/>
      <c r="H28" s="1685"/>
      <c r="I28" s="141"/>
      <c r="J28" s="145" t="s">
        <v>13</v>
      </c>
      <c r="K28" s="158"/>
      <c r="L28" s="112"/>
      <c r="M28" s="135"/>
    </row>
    <row r="29" spans="1:13" outlineLevel="1">
      <c r="A29" s="128"/>
      <c r="B29" s="112"/>
      <c r="C29" s="1176" t="s">
        <v>2</v>
      </c>
      <c r="D29" s="83"/>
      <c r="E29" s="83"/>
      <c r="F29" s="83"/>
      <c r="G29" s="83"/>
      <c r="H29" s="83"/>
      <c r="I29" s="148"/>
      <c r="J29" s="161"/>
      <c r="K29" s="162"/>
      <c r="L29" s="112"/>
      <c r="M29" s="135"/>
    </row>
    <row r="30" spans="1:13" outlineLevel="1">
      <c r="A30" s="128"/>
      <c r="B30" s="112"/>
      <c r="C30" s="150" t="s">
        <v>1332</v>
      </c>
      <c r="D30" s="83"/>
      <c r="E30" s="83"/>
      <c r="F30" s="83"/>
      <c r="G30" s="83"/>
      <c r="H30" s="83"/>
      <c r="I30" s="678"/>
      <c r="J30" s="160"/>
      <c r="K30" s="157" t="s">
        <v>1307</v>
      </c>
      <c r="L30" s="112"/>
      <c r="M30" s="135"/>
    </row>
    <row r="31" spans="1:13" outlineLevel="1">
      <c r="A31" s="128"/>
      <c r="B31" s="112"/>
      <c r="C31" s="150" t="s">
        <v>1666</v>
      </c>
      <c r="D31" s="129"/>
      <c r="E31" s="129"/>
      <c r="F31" s="129"/>
      <c r="G31" s="129"/>
      <c r="H31" s="129"/>
      <c r="I31" s="678"/>
      <c r="J31" s="160"/>
      <c r="K31" s="158"/>
      <c r="L31" s="112"/>
      <c r="M31" s="135"/>
    </row>
    <row r="32" spans="1:13" outlineLevel="1">
      <c r="A32" s="128"/>
      <c r="B32" s="112"/>
      <c r="C32" s="1666" t="s">
        <v>1667</v>
      </c>
      <c r="D32" s="1667"/>
      <c r="E32" s="1667"/>
      <c r="F32" s="1667"/>
      <c r="G32" s="1667"/>
      <c r="H32" s="1667"/>
      <c r="I32" s="163"/>
      <c r="J32" s="1570" t="str">
        <f>IF(J31="","",J31)</f>
        <v/>
      </c>
      <c r="K32" s="165"/>
      <c r="L32" s="112"/>
      <c r="M32" s="135"/>
    </row>
    <row r="33" spans="1:28" ht="15.6" outlineLevel="1">
      <c r="A33" s="128"/>
      <c r="B33" s="112"/>
      <c r="C33" s="1683" t="s">
        <v>1681</v>
      </c>
      <c r="D33" s="1684"/>
      <c r="E33" s="1684"/>
      <c r="F33" s="1684"/>
      <c r="G33" s="1684"/>
      <c r="H33" s="1684"/>
      <c r="I33" s="166"/>
      <c r="J33" s="145" t="s">
        <v>13</v>
      </c>
      <c r="K33" s="152" t="s">
        <v>1306</v>
      </c>
      <c r="L33" s="112"/>
      <c r="M33" s="135"/>
    </row>
    <row r="34" spans="1:28" ht="31.5" customHeight="1" outlineLevel="1">
      <c r="A34" s="128"/>
      <c r="B34" s="112"/>
      <c r="C34" s="1681" t="s">
        <v>1672</v>
      </c>
      <c r="D34" s="1685"/>
      <c r="E34" s="1685"/>
      <c r="F34" s="1685"/>
      <c r="G34" s="1685"/>
      <c r="H34" s="1685"/>
      <c r="I34" s="141"/>
      <c r="J34" s="145" t="s">
        <v>13</v>
      </c>
      <c r="K34" s="152"/>
      <c r="L34" s="112"/>
      <c r="M34" s="135"/>
    </row>
    <row r="35" spans="1:28" ht="30" customHeight="1" outlineLevel="1" thickBot="1">
      <c r="A35" s="128"/>
      <c r="B35" s="112"/>
      <c r="C35" s="1686" t="s">
        <v>1668</v>
      </c>
      <c r="D35" s="1687"/>
      <c r="E35" s="1687"/>
      <c r="F35" s="1687"/>
      <c r="G35" s="1687"/>
      <c r="H35" s="1687"/>
      <c r="I35" s="1572"/>
      <c r="J35" s="1573" t="s">
        <v>13</v>
      </c>
      <c r="K35" s="1574"/>
      <c r="L35" s="112"/>
      <c r="M35" s="135"/>
    </row>
    <row r="36" spans="1:28" outlineLevel="1">
      <c r="A36" s="128"/>
      <c r="B36" s="112"/>
      <c r="C36" s="112"/>
      <c r="D36" s="112"/>
      <c r="E36" s="112"/>
      <c r="F36" s="112"/>
      <c r="G36" s="112"/>
      <c r="H36" s="112"/>
      <c r="I36" s="112"/>
      <c r="J36" s="112"/>
      <c r="K36" s="112"/>
      <c r="L36" s="112"/>
      <c r="M36" s="135"/>
    </row>
    <row r="37" spans="1:28" ht="15.6" outlineLevel="1">
      <c r="A37" s="1663" t="s">
        <v>1062</v>
      </c>
      <c r="B37" s="1664"/>
      <c r="C37" s="1664"/>
      <c r="D37" s="1664"/>
      <c r="E37" s="1664"/>
      <c r="F37" s="1664"/>
      <c r="G37" s="1664"/>
      <c r="H37" s="1664"/>
      <c r="I37" s="1664"/>
      <c r="J37" s="1664"/>
      <c r="K37" s="1664"/>
      <c r="L37" s="1664"/>
      <c r="M37" s="1665"/>
    </row>
    <row r="38" spans="1:28" ht="16.2" outlineLevel="1" thickBot="1">
      <c r="A38" s="1177"/>
      <c r="B38" s="1178"/>
      <c r="C38" s="1178"/>
      <c r="D38" s="1178"/>
      <c r="E38" s="1178"/>
      <c r="F38" s="1178"/>
      <c r="G38" s="1178"/>
      <c r="H38" s="1178"/>
      <c r="I38" s="1178"/>
      <c r="J38" s="1178"/>
      <c r="K38" s="1178"/>
      <c r="L38" s="1178"/>
      <c r="M38" s="1179"/>
    </row>
    <row r="39" spans="1:28" ht="16.2" outlineLevel="1" thickBot="1">
      <c r="A39" s="1177"/>
      <c r="B39" s="1670" t="s">
        <v>0</v>
      </c>
      <c r="C39" s="1670"/>
      <c r="D39" s="1670"/>
      <c r="E39" s="172"/>
      <c r="F39" s="173" t="s">
        <v>1</v>
      </c>
      <c r="G39" s="122"/>
      <c r="H39" s="174"/>
      <c r="I39" s="112"/>
      <c r="J39" s="173" t="s">
        <v>2</v>
      </c>
      <c r="K39" s="172"/>
      <c r="L39" s="175"/>
      <c r="M39" s="1179"/>
    </row>
    <row r="40" spans="1:28" ht="15.6" outlineLevel="1">
      <c r="A40" s="176"/>
      <c r="B40" s="1095" t="s">
        <v>1308</v>
      </c>
      <c r="C40" s="1550" t="str">
        <f>IFERROR(I20/I17,"-")</f>
        <v>-</v>
      </c>
      <c r="D40" s="1223"/>
      <c r="E40" s="122"/>
      <c r="F40" s="1241" t="s">
        <v>1309</v>
      </c>
      <c r="G40" s="1242">
        <f>I26</f>
        <v>0</v>
      </c>
      <c r="H40" s="1243" t="str">
        <f>IF(J26=0,"",J26)</f>
        <v/>
      </c>
      <c r="I40" s="122"/>
      <c r="J40" s="177" t="s">
        <v>1310</v>
      </c>
      <c r="K40" s="1222">
        <f>I30</f>
        <v>0</v>
      </c>
      <c r="L40" s="302" t="str">
        <f>IF(J30=0,"",J30)</f>
        <v/>
      </c>
      <c r="M40" s="1179"/>
    </row>
    <row r="41" spans="1:28" ht="16.2" outlineLevel="1" thickBot="1">
      <c r="A41" s="176"/>
      <c r="B41" s="1097" t="s">
        <v>1311</v>
      </c>
      <c r="C41" s="1561">
        <f>IFERROR(I20*I23+I24,"-")</f>
        <v>0</v>
      </c>
      <c r="D41" s="1224" t="s">
        <v>13</v>
      </c>
      <c r="E41" s="112"/>
      <c r="F41" s="1237" t="s">
        <v>1311</v>
      </c>
      <c r="G41" s="1245">
        <f>I26*I27+I28</f>
        <v>0</v>
      </c>
      <c r="H41" s="1246" t="s">
        <v>13</v>
      </c>
      <c r="I41" s="112"/>
      <c r="J41" s="178" t="s">
        <v>1312</v>
      </c>
      <c r="K41" s="179">
        <f>(I31-I32)</f>
        <v>0</v>
      </c>
      <c r="L41" s="1576" t="str">
        <f>IF(J31="","",J31)</f>
        <v/>
      </c>
      <c r="M41" s="1179"/>
    </row>
    <row r="42" spans="1:28" ht="16.2" outlineLevel="1" thickBot="1">
      <c r="A42" s="180"/>
      <c r="B42" s="122"/>
      <c r="C42" s="122"/>
      <c r="D42" s="122"/>
      <c r="E42" s="122"/>
      <c r="F42" s="122"/>
      <c r="G42" s="122"/>
      <c r="H42" s="122"/>
      <c r="I42" s="122"/>
      <c r="J42" s="181" t="s">
        <v>1311</v>
      </c>
      <c r="K42" s="182">
        <f>(I30*I33+I34)+I35</f>
        <v>0</v>
      </c>
      <c r="L42" s="308" t="s">
        <v>13</v>
      </c>
      <c r="M42" s="1179"/>
    </row>
    <row r="43" spans="1:28" ht="15.6" outlineLevel="1">
      <c r="A43" s="1177"/>
      <c r="B43" s="122"/>
      <c r="C43" s="122"/>
      <c r="D43" s="122"/>
      <c r="E43" s="122"/>
      <c r="F43" s="122"/>
      <c r="G43" s="122"/>
      <c r="H43" s="122"/>
      <c r="I43" s="122"/>
      <c r="J43" s="122"/>
      <c r="K43" s="122"/>
      <c r="L43" s="122"/>
      <c r="M43" s="1179"/>
    </row>
    <row r="44" spans="1:28" s="328" customFormat="1" ht="15.6" outlineLevel="1">
      <c r="A44" s="1663" t="s">
        <v>1298</v>
      </c>
      <c r="B44" s="1664"/>
      <c r="C44" s="1664"/>
      <c r="D44" s="1664"/>
      <c r="E44" s="1664"/>
      <c r="F44" s="1664"/>
      <c r="G44" s="1664"/>
      <c r="H44" s="1664"/>
      <c r="I44" s="1664"/>
      <c r="J44" s="1664"/>
      <c r="K44" s="1664"/>
      <c r="L44" s="1664"/>
      <c r="M44" s="1665"/>
      <c r="N44" s="1571"/>
      <c r="O44" s="51"/>
      <c r="P44" s="51"/>
      <c r="W44" s="331"/>
      <c r="X44" s="78"/>
      <c r="Y44" s="360"/>
      <c r="Z44" s="331"/>
      <c r="AA44" s="352"/>
      <c r="AB44" s="331"/>
    </row>
    <row r="45" spans="1:28" ht="16.2" outlineLevel="1" thickBot="1">
      <c r="A45" s="1177"/>
      <c r="B45" s="112"/>
      <c r="C45" s="7" t="s">
        <v>1684</v>
      </c>
      <c r="D45" s="1560"/>
      <c r="E45" s="1560"/>
      <c r="F45" s="1560"/>
      <c r="G45" s="112"/>
      <c r="H45" s="112"/>
      <c r="I45" s="112"/>
      <c r="J45" s="112"/>
      <c r="L45" s="112"/>
      <c r="M45" s="1179"/>
    </row>
    <row r="46" spans="1:28" ht="15.6" outlineLevel="1">
      <c r="A46" s="1177"/>
      <c r="B46" s="112"/>
      <c r="C46" s="1655" t="s">
        <v>1162</v>
      </c>
      <c r="D46" s="1656"/>
      <c r="E46" s="1675" t="s">
        <v>0</v>
      </c>
      <c r="F46" s="1676"/>
      <c r="G46" s="1659" t="s">
        <v>1</v>
      </c>
      <c r="H46" s="1660"/>
      <c r="I46" s="1652" t="s">
        <v>2</v>
      </c>
      <c r="J46" s="1653"/>
      <c r="K46" s="1654"/>
      <c r="M46" s="1179"/>
    </row>
    <row r="47" spans="1:28" ht="15.6" outlineLevel="1">
      <c r="A47" s="1177"/>
      <c r="B47" s="112"/>
      <c r="C47" s="1657"/>
      <c r="D47" s="1658"/>
      <c r="E47" s="1225" t="s">
        <v>1686</v>
      </c>
      <c r="F47" s="1225" t="s">
        <v>1314</v>
      </c>
      <c r="G47" s="1247" t="s">
        <v>1309</v>
      </c>
      <c r="H47" s="1247" t="s">
        <v>1314</v>
      </c>
      <c r="I47" s="184" t="s">
        <v>1310</v>
      </c>
      <c r="J47" s="184" t="s">
        <v>1685</v>
      </c>
      <c r="K47" s="185" t="s">
        <v>492</v>
      </c>
      <c r="M47" s="1179"/>
    </row>
    <row r="48" spans="1:28" ht="15.6" outlineLevel="1">
      <c r="A48" s="1177"/>
      <c r="B48" s="112"/>
      <c r="C48" s="1661"/>
      <c r="D48" s="1662"/>
      <c r="E48" s="186"/>
      <c r="F48" s="1559"/>
      <c r="G48" s="1559"/>
      <c r="H48" s="189"/>
      <c r="I48" s="190"/>
      <c r="J48" s="190"/>
      <c r="K48" s="1575"/>
      <c r="M48" s="1179"/>
    </row>
    <row r="49" spans="1:13" ht="15.6" outlineLevel="1">
      <c r="A49" s="1177"/>
      <c r="B49" s="112"/>
      <c r="C49" s="1661"/>
      <c r="D49" s="1662"/>
      <c r="E49" s="1559"/>
      <c r="F49" s="1559"/>
      <c r="G49" s="191"/>
      <c r="H49" s="191"/>
      <c r="I49" s="191"/>
      <c r="J49" s="190"/>
      <c r="K49" s="321"/>
      <c r="M49" s="1179"/>
    </row>
    <row r="50" spans="1:13" ht="15.6" outlineLevel="1">
      <c r="A50" s="1177"/>
      <c r="B50" s="112"/>
      <c r="C50" s="1661"/>
      <c r="D50" s="1662"/>
      <c r="E50" s="1559"/>
      <c r="F50" s="1559"/>
      <c r="G50" s="191"/>
      <c r="H50" s="191"/>
      <c r="I50" s="191"/>
      <c r="J50" s="190"/>
      <c r="K50" s="321"/>
      <c r="M50" s="1179"/>
    </row>
    <row r="51" spans="1:13" ht="15.6" outlineLevel="1">
      <c r="A51" s="1177"/>
      <c r="B51" s="112"/>
      <c r="C51" s="1661"/>
      <c r="D51" s="1662"/>
      <c r="E51" s="192"/>
      <c r="F51" s="192"/>
      <c r="G51" s="191"/>
      <c r="H51" s="191"/>
      <c r="I51" s="191"/>
      <c r="J51" s="190"/>
      <c r="K51" s="321"/>
      <c r="M51" s="1179"/>
    </row>
    <row r="52" spans="1:13" ht="15.6" outlineLevel="1">
      <c r="A52" s="1177"/>
      <c r="B52" s="112"/>
      <c r="C52" s="1661"/>
      <c r="D52" s="1662"/>
      <c r="E52" s="192"/>
      <c r="F52" s="192"/>
      <c r="G52" s="191"/>
      <c r="H52" s="191"/>
      <c r="I52" s="191"/>
      <c r="J52" s="190"/>
      <c r="K52" s="321"/>
      <c r="M52" s="1179"/>
    </row>
    <row r="53" spans="1:13" ht="15.6" outlineLevel="1">
      <c r="A53" s="1177"/>
      <c r="B53" s="112"/>
      <c r="C53" s="1661"/>
      <c r="D53" s="1662"/>
      <c r="E53" s="192"/>
      <c r="F53" s="192"/>
      <c r="G53" s="191"/>
      <c r="H53" s="191"/>
      <c r="I53" s="191"/>
      <c r="J53" s="190"/>
      <c r="K53" s="321"/>
      <c r="M53" s="1179"/>
    </row>
    <row r="54" spans="1:13" outlineLevel="1">
      <c r="A54" s="193"/>
      <c r="B54" s="112"/>
      <c r="C54" s="1661"/>
      <c r="D54" s="1662"/>
      <c r="E54" s="192"/>
      <c r="F54" s="192"/>
      <c r="G54" s="191"/>
      <c r="H54" s="191"/>
      <c r="I54" s="191"/>
      <c r="J54" s="190"/>
      <c r="K54" s="321"/>
      <c r="M54" s="194"/>
    </row>
    <row r="55" spans="1:13" outlineLevel="1">
      <c r="A55" s="193"/>
      <c r="B55" s="112"/>
      <c r="C55" s="1661"/>
      <c r="D55" s="1662"/>
      <c r="E55" s="192"/>
      <c r="F55" s="192"/>
      <c r="G55" s="191"/>
      <c r="H55" s="191"/>
      <c r="I55" s="191"/>
      <c r="J55" s="190"/>
      <c r="K55" s="321"/>
      <c r="M55" s="194"/>
    </row>
    <row r="56" spans="1:13" outlineLevel="1">
      <c r="A56" s="193"/>
      <c r="B56" s="112"/>
      <c r="C56" s="1661"/>
      <c r="D56" s="1662"/>
      <c r="E56" s="192"/>
      <c r="F56" s="192"/>
      <c r="G56" s="191"/>
      <c r="H56" s="191"/>
      <c r="I56" s="191"/>
      <c r="J56" s="190"/>
      <c r="K56" s="321"/>
      <c r="M56" s="194"/>
    </row>
    <row r="57" spans="1:13" ht="15" outlineLevel="1" thickBot="1">
      <c r="A57" s="193"/>
      <c r="B57" s="112"/>
      <c r="C57" s="1673"/>
      <c r="D57" s="1674"/>
      <c r="E57" s="195"/>
      <c r="F57" s="195"/>
      <c r="G57" s="196"/>
      <c r="H57" s="196"/>
      <c r="I57" s="196"/>
      <c r="J57" s="196"/>
      <c r="K57" s="324"/>
      <c r="M57" s="194"/>
    </row>
    <row r="58" spans="1:13">
      <c r="A58" s="193"/>
      <c r="B58" s="112"/>
      <c r="C58" s="112"/>
      <c r="D58" s="112"/>
      <c r="E58" s="112"/>
      <c r="F58" s="197"/>
      <c r="G58" s="197"/>
      <c r="H58" s="198"/>
      <c r="I58" s="198"/>
      <c r="J58" s="112"/>
      <c r="K58" s="112"/>
      <c r="L58" s="112"/>
      <c r="M58" s="194"/>
    </row>
    <row r="59" spans="1:13">
      <c r="A59" s="193"/>
      <c r="B59" s="112"/>
      <c r="C59" s="112"/>
      <c r="D59" s="112"/>
      <c r="E59" s="112"/>
      <c r="F59" s="197"/>
      <c r="G59" s="197"/>
      <c r="H59" s="198"/>
      <c r="I59" s="198"/>
      <c r="J59" s="112"/>
      <c r="K59" s="112"/>
      <c r="L59" s="112"/>
      <c r="M59" s="194"/>
    </row>
    <row r="60" spans="1:13" ht="15.6">
      <c r="A60" s="128"/>
      <c r="B60" s="1149" t="s">
        <v>1689</v>
      </c>
      <c r="C60" s="7"/>
      <c r="D60" s="1552"/>
      <c r="E60" s="1552"/>
      <c r="F60" s="1552"/>
      <c r="G60" s="1552"/>
      <c r="H60" s="1552"/>
      <c r="I60" s="1552"/>
      <c r="J60" s="1552"/>
      <c r="K60" s="1552"/>
      <c r="L60" s="1552"/>
      <c r="M60" s="132"/>
    </row>
    <row r="61" spans="1:13" ht="15.6" outlineLevel="1">
      <c r="A61" s="1663" t="s">
        <v>488</v>
      </c>
      <c r="B61" s="1664"/>
      <c r="C61" s="1664"/>
      <c r="D61" s="1664"/>
      <c r="E61" s="1664"/>
      <c r="F61" s="1664"/>
      <c r="G61" s="1664"/>
      <c r="H61" s="1664"/>
      <c r="I61" s="1664"/>
      <c r="J61" s="1664"/>
      <c r="K61" s="1664"/>
      <c r="L61" s="1664"/>
      <c r="M61" s="1665"/>
    </row>
    <row r="62" spans="1:13" ht="15" outlineLevel="1" thickBot="1">
      <c r="A62" s="128"/>
      <c r="B62" s="112"/>
      <c r="C62" s="112"/>
      <c r="D62" s="112"/>
      <c r="E62" s="112"/>
      <c r="F62" s="112"/>
      <c r="G62" s="112"/>
      <c r="H62" s="112"/>
      <c r="I62" s="112"/>
      <c r="J62" s="112"/>
      <c r="K62" s="112"/>
      <c r="L62" s="112"/>
      <c r="M62" s="135"/>
    </row>
    <row r="63" spans="1:13" outlineLevel="1">
      <c r="A63" s="128"/>
      <c r="B63" s="112"/>
      <c r="C63" s="1091" t="s">
        <v>499</v>
      </c>
      <c r="D63" s="61"/>
      <c r="E63" s="61"/>
      <c r="F63" s="61"/>
      <c r="G63" s="61"/>
      <c r="H63" s="61"/>
      <c r="I63" s="1092" t="s">
        <v>492</v>
      </c>
      <c r="J63" s="1092" t="s">
        <v>24</v>
      </c>
      <c r="K63" s="1093" t="s">
        <v>501</v>
      </c>
      <c r="L63" s="112"/>
      <c r="M63" s="135"/>
    </row>
    <row r="64" spans="1:13" outlineLevel="1">
      <c r="A64" s="128"/>
      <c r="B64" s="112"/>
      <c r="C64" s="1671" t="s">
        <v>1671</v>
      </c>
      <c r="D64" s="1672"/>
      <c r="E64" s="1672"/>
      <c r="F64" s="1672"/>
      <c r="G64" s="1672"/>
      <c r="H64" s="1672"/>
      <c r="I64" s="136"/>
      <c r="J64" s="1569"/>
      <c r="K64" s="137"/>
      <c r="L64" s="112"/>
      <c r="M64" s="135"/>
    </row>
    <row r="65" spans="1:13" ht="15.6" outlineLevel="1">
      <c r="A65" s="128"/>
      <c r="B65" s="112"/>
      <c r="C65" s="138" t="s">
        <v>1326</v>
      </c>
      <c r="D65" s="1558"/>
      <c r="E65" s="1558"/>
      <c r="F65" s="1558"/>
      <c r="G65" s="1558"/>
      <c r="H65" s="140"/>
      <c r="I65" s="1547"/>
      <c r="J65" s="1545"/>
      <c r="K65" s="1546"/>
      <c r="L65" s="112"/>
      <c r="M65" s="135"/>
    </row>
    <row r="66" spans="1:13" outlineLevel="1">
      <c r="A66" s="128"/>
      <c r="B66" s="112"/>
      <c r="C66" s="143" t="s">
        <v>1327</v>
      </c>
      <c r="D66" s="129"/>
      <c r="E66" s="144"/>
      <c r="F66" s="144"/>
      <c r="G66" s="129"/>
      <c r="H66" s="129"/>
      <c r="I66" s="1547"/>
      <c r="J66" s="1545"/>
      <c r="K66" s="1546"/>
      <c r="L66" s="112"/>
      <c r="M66" s="135"/>
    </row>
    <row r="67" spans="1:13" outlineLevel="1">
      <c r="A67" s="128"/>
      <c r="B67" s="112"/>
      <c r="C67" s="146" t="s">
        <v>1328</v>
      </c>
      <c r="D67" s="129"/>
      <c r="E67" s="144"/>
      <c r="F67" s="144"/>
      <c r="G67" s="129"/>
      <c r="H67" s="129"/>
      <c r="I67" s="1547"/>
      <c r="J67" s="1549" t="str">
        <f>IF(J66="","",J66)</f>
        <v/>
      </c>
      <c r="K67" s="1546"/>
      <c r="L67" s="112"/>
      <c r="M67" s="135"/>
    </row>
    <row r="68" spans="1:13" outlineLevel="1">
      <c r="A68" s="128"/>
      <c r="B68" s="112"/>
      <c r="C68" s="138" t="s">
        <v>1329</v>
      </c>
      <c r="D68" s="1558"/>
      <c r="E68" s="1558"/>
      <c r="F68" s="1558"/>
      <c r="G68" s="1558"/>
      <c r="H68" s="140"/>
      <c r="I68" s="1548">
        <f>IFERROR(I67+I66,"-")</f>
        <v>0</v>
      </c>
      <c r="J68" s="1549" t="str">
        <f>IF(J66="","",J66)</f>
        <v/>
      </c>
      <c r="K68" s="1546"/>
      <c r="L68" s="112"/>
      <c r="M68" s="135"/>
    </row>
    <row r="69" spans="1:13" outlineLevel="1">
      <c r="A69" s="128"/>
      <c r="B69" s="112"/>
      <c r="C69" s="150" t="s">
        <v>1330</v>
      </c>
      <c r="D69" s="112"/>
      <c r="E69" s="112"/>
      <c r="F69" s="112"/>
      <c r="G69" s="112"/>
      <c r="H69" s="112"/>
      <c r="I69" s="151"/>
      <c r="J69" s="145" t="s">
        <v>13</v>
      </c>
      <c r="K69" s="152" t="s">
        <v>1306</v>
      </c>
      <c r="L69" s="112"/>
      <c r="M69" s="135"/>
    </row>
    <row r="70" spans="1:13" outlineLevel="1">
      <c r="A70" s="128"/>
      <c r="B70" s="112"/>
      <c r="C70" s="1554" t="s">
        <v>1</v>
      </c>
      <c r="D70" s="83"/>
      <c r="E70" s="83"/>
      <c r="F70" s="83"/>
      <c r="G70" s="83"/>
      <c r="H70" s="83"/>
      <c r="I70" s="148"/>
      <c r="J70" s="145"/>
      <c r="K70" s="153"/>
      <c r="L70" s="112"/>
      <c r="M70" s="135"/>
    </row>
    <row r="71" spans="1:13" outlineLevel="1">
      <c r="A71" s="128"/>
      <c r="B71" s="112"/>
      <c r="C71" s="150" t="s">
        <v>1665</v>
      </c>
      <c r="D71" s="1553"/>
      <c r="E71" s="1553"/>
      <c r="F71" s="1553"/>
      <c r="G71" s="1553"/>
      <c r="H71" s="1553"/>
      <c r="I71" s="151"/>
      <c r="J71" s="1549" t="str">
        <f>IF(J65="","",J65)</f>
        <v/>
      </c>
      <c r="K71" s="158"/>
      <c r="L71" s="112"/>
      <c r="M71" s="135"/>
    </row>
    <row r="72" spans="1:13" outlineLevel="1">
      <c r="A72" s="128"/>
      <c r="B72" s="112"/>
      <c r="C72" s="1554" t="s">
        <v>2</v>
      </c>
      <c r="D72" s="83"/>
      <c r="E72" s="83"/>
      <c r="F72" s="83"/>
      <c r="G72" s="83"/>
      <c r="H72" s="83"/>
      <c r="I72" s="148"/>
      <c r="J72" s="161"/>
      <c r="K72" s="162"/>
      <c r="L72" s="112"/>
      <c r="M72" s="135"/>
    </row>
    <row r="73" spans="1:13" outlineLevel="1">
      <c r="A73" s="128"/>
      <c r="B73" s="112"/>
      <c r="C73" s="150" t="s">
        <v>1332</v>
      </c>
      <c r="D73" s="83"/>
      <c r="E73" s="83"/>
      <c r="F73" s="83"/>
      <c r="G73" s="83"/>
      <c r="H73" s="83"/>
      <c r="I73" s="1577">
        <f>I66</f>
        <v>0</v>
      </c>
      <c r="J73" s="1549" t="str">
        <f>IF(J66="","",J66)</f>
        <v/>
      </c>
      <c r="K73" s="1546"/>
      <c r="L73" s="112"/>
      <c r="M73" s="135"/>
    </row>
    <row r="74" spans="1:13" outlineLevel="1">
      <c r="A74" s="128"/>
      <c r="B74" s="112"/>
      <c r="C74" s="150" t="s">
        <v>1666</v>
      </c>
      <c r="D74" s="129"/>
      <c r="E74" s="129"/>
      <c r="F74" s="129"/>
      <c r="G74" s="129"/>
      <c r="H74" s="129"/>
      <c r="I74" s="141"/>
      <c r="J74" s="160"/>
      <c r="K74" s="158"/>
      <c r="L74" s="112"/>
      <c r="M74" s="135"/>
    </row>
    <row r="75" spans="1:13" outlineLevel="1">
      <c r="A75" s="128"/>
      <c r="B75" s="112"/>
      <c r="C75" s="1666" t="s">
        <v>1667</v>
      </c>
      <c r="D75" s="1667"/>
      <c r="E75" s="1667"/>
      <c r="F75" s="1667"/>
      <c r="G75" s="1667"/>
      <c r="H75" s="1667"/>
      <c r="I75" s="163"/>
      <c r="J75" s="160"/>
      <c r="K75" s="165"/>
      <c r="L75" s="112"/>
      <c r="M75" s="135"/>
    </row>
    <row r="76" spans="1:13" ht="22.5" customHeight="1" outlineLevel="1">
      <c r="A76" s="128"/>
      <c r="B76" s="112"/>
      <c r="C76" s="1666" t="s">
        <v>1669</v>
      </c>
      <c r="D76" s="1667"/>
      <c r="E76" s="1667"/>
      <c r="F76" s="1667"/>
      <c r="G76" s="1667"/>
      <c r="H76" s="1667"/>
      <c r="I76" s="141"/>
      <c r="J76" s="160"/>
      <c r="K76" s="152"/>
      <c r="L76" s="112"/>
      <c r="M76" s="135"/>
    </row>
    <row r="77" spans="1:13" ht="30.75" customHeight="1" outlineLevel="1" thickBot="1">
      <c r="A77" s="128"/>
      <c r="B77" s="112"/>
      <c r="C77" s="1668" t="s">
        <v>1670</v>
      </c>
      <c r="D77" s="1669"/>
      <c r="E77" s="1669"/>
      <c r="F77" s="1669"/>
      <c r="G77" s="1669"/>
      <c r="H77" s="1669"/>
      <c r="I77" s="167"/>
      <c r="J77" s="333" t="s">
        <v>13</v>
      </c>
      <c r="K77" s="168" t="s">
        <v>1306</v>
      </c>
      <c r="L77" s="112"/>
      <c r="M77" s="135"/>
    </row>
    <row r="78" spans="1:13" outlineLevel="1">
      <c r="A78" s="128"/>
      <c r="B78" s="112"/>
      <c r="C78" s="112"/>
      <c r="D78" s="112"/>
      <c r="E78" s="112"/>
      <c r="F78" s="112"/>
      <c r="G78" s="112"/>
      <c r="H78" s="112"/>
      <c r="I78" s="112"/>
      <c r="J78" s="112"/>
      <c r="K78" s="112"/>
      <c r="L78" s="112"/>
      <c r="M78" s="135"/>
    </row>
    <row r="79" spans="1:13" ht="15.6" outlineLevel="1">
      <c r="A79" s="1663" t="s">
        <v>490</v>
      </c>
      <c r="B79" s="1664"/>
      <c r="C79" s="1664"/>
      <c r="D79" s="1664"/>
      <c r="E79" s="1664"/>
      <c r="F79" s="1664"/>
      <c r="G79" s="1664"/>
      <c r="H79" s="1664"/>
      <c r="I79" s="1664"/>
      <c r="J79" s="1664"/>
      <c r="K79" s="1664"/>
      <c r="L79" s="1664"/>
      <c r="M79" s="1665"/>
    </row>
    <row r="80" spans="1:13" ht="16.2" outlineLevel="1" thickBot="1">
      <c r="A80" s="1555"/>
      <c r="B80" s="1556"/>
      <c r="C80" s="1556"/>
      <c r="D80" s="1556"/>
      <c r="E80" s="1556"/>
      <c r="F80" s="1556"/>
      <c r="G80" s="1556"/>
      <c r="H80" s="1556"/>
      <c r="I80" s="1556"/>
      <c r="J80" s="1556"/>
      <c r="K80" s="1556"/>
      <c r="L80" s="1556"/>
      <c r="M80" s="1557"/>
    </row>
    <row r="81" spans="1:13" ht="16.2" outlineLevel="1" thickBot="1">
      <c r="A81" s="1555"/>
      <c r="B81" s="1670" t="s">
        <v>0</v>
      </c>
      <c r="C81" s="1670"/>
      <c r="D81" s="1670"/>
      <c r="E81" s="172"/>
      <c r="F81" s="173" t="s">
        <v>1</v>
      </c>
      <c r="G81" s="122"/>
      <c r="H81" s="174"/>
      <c r="I81" s="112"/>
      <c r="J81" s="173" t="s">
        <v>2</v>
      </c>
      <c r="K81" s="172"/>
      <c r="L81" s="175"/>
      <c r="M81" s="1557"/>
    </row>
    <row r="82" spans="1:13" ht="15.6" outlineLevel="1">
      <c r="A82" s="176"/>
      <c r="B82" s="1095" t="s">
        <v>1308</v>
      </c>
      <c r="C82" s="1550" t="str">
        <f>IFERROR(I68/I65,"-")</f>
        <v>-</v>
      </c>
      <c r="D82" s="1223"/>
      <c r="E82" s="122"/>
      <c r="F82" s="1241" t="s">
        <v>1309</v>
      </c>
      <c r="G82" s="1242">
        <f>I67</f>
        <v>0</v>
      </c>
      <c r="H82" s="1243" t="str">
        <f>J67</f>
        <v/>
      </c>
      <c r="I82" s="122"/>
      <c r="J82" s="177" t="s">
        <v>1310</v>
      </c>
      <c r="K82" s="1222">
        <f>I73</f>
        <v>0</v>
      </c>
      <c r="L82" s="302" t="str">
        <f>IF(J73=0,"",J73)</f>
        <v/>
      </c>
      <c r="M82" s="1557"/>
    </row>
    <row r="83" spans="1:13" ht="16.2" outlineLevel="1" thickBot="1">
      <c r="A83" s="176"/>
      <c r="B83" s="1097" t="s">
        <v>1313</v>
      </c>
      <c r="C83" s="1561">
        <f>I65*I69</f>
        <v>0</v>
      </c>
      <c r="D83" s="1224" t="s">
        <v>13</v>
      </c>
      <c r="E83" s="112"/>
      <c r="F83" s="1237" t="s">
        <v>1313</v>
      </c>
      <c r="G83" s="1245">
        <f>I71*I69</f>
        <v>0</v>
      </c>
      <c r="H83" s="1246" t="s">
        <v>13</v>
      </c>
      <c r="I83" s="112"/>
      <c r="J83" s="178" t="s">
        <v>1312</v>
      </c>
      <c r="K83" s="179">
        <f>(I74-I75)</f>
        <v>0</v>
      </c>
      <c r="L83" s="304"/>
      <c r="M83" s="1557"/>
    </row>
    <row r="84" spans="1:13" ht="16.2" outlineLevel="1" thickBot="1">
      <c r="A84" s="180"/>
      <c r="E84" s="122"/>
      <c r="I84" s="122"/>
      <c r="J84" s="181" t="s">
        <v>1313</v>
      </c>
      <c r="K84" s="182">
        <f>IFERROR(((I76*I77)),"")</f>
        <v>0</v>
      </c>
      <c r="L84" s="308" t="s">
        <v>13</v>
      </c>
      <c r="M84" s="1557"/>
    </row>
    <row r="85" spans="1:13" ht="15.6" outlineLevel="1">
      <c r="A85" s="1555"/>
      <c r="B85" s="122"/>
      <c r="C85" s="122"/>
      <c r="D85" s="122"/>
      <c r="E85" s="122"/>
      <c r="F85" s="122"/>
      <c r="G85" s="122"/>
      <c r="H85" s="122"/>
      <c r="I85" s="122"/>
      <c r="M85" s="1557"/>
    </row>
    <row r="86" spans="1:13" ht="15.6" outlineLevel="1">
      <c r="A86" s="1663" t="s">
        <v>1298</v>
      </c>
      <c r="B86" s="1664"/>
      <c r="C86" s="1664"/>
      <c r="D86" s="1664"/>
      <c r="E86" s="1664"/>
      <c r="F86" s="1664"/>
      <c r="G86" s="1664"/>
      <c r="H86" s="1664"/>
      <c r="I86" s="1664"/>
      <c r="J86" s="1664"/>
      <c r="K86" s="1664"/>
      <c r="L86" s="1664"/>
      <c r="M86" s="1665"/>
    </row>
    <row r="87" spans="1:13" ht="16.2" outlineLevel="1" thickBot="1">
      <c r="A87" s="1555"/>
      <c r="B87" s="112"/>
      <c r="C87" s="7" t="s">
        <v>1684</v>
      </c>
      <c r="D87" s="1560"/>
      <c r="E87" s="1560"/>
      <c r="F87" s="1560"/>
      <c r="G87" s="112"/>
      <c r="H87" s="112"/>
      <c r="I87" s="112"/>
      <c r="J87" s="112"/>
      <c r="L87" s="112"/>
      <c r="M87" s="1557"/>
    </row>
    <row r="88" spans="1:13" ht="15.6" outlineLevel="1">
      <c r="A88" s="1555"/>
      <c r="B88" s="112"/>
      <c r="C88" s="1655" t="s">
        <v>1162</v>
      </c>
      <c r="D88" s="1656"/>
      <c r="E88" s="1675" t="s">
        <v>0</v>
      </c>
      <c r="F88" s="1676"/>
      <c r="G88" s="1659" t="s">
        <v>1</v>
      </c>
      <c r="H88" s="1660"/>
      <c r="I88" s="1652" t="s">
        <v>2</v>
      </c>
      <c r="J88" s="1653"/>
      <c r="K88" s="1654"/>
      <c r="M88" s="1557"/>
    </row>
    <row r="89" spans="1:13" ht="15.6" outlineLevel="1">
      <c r="A89" s="1555"/>
      <c r="B89" s="112"/>
      <c r="C89" s="1657"/>
      <c r="D89" s="1658"/>
      <c r="E89" s="1225" t="s">
        <v>1686</v>
      </c>
      <c r="F89" s="1225" t="s">
        <v>492</v>
      </c>
      <c r="G89" s="1247" t="s">
        <v>1309</v>
      </c>
      <c r="H89" s="1247" t="s">
        <v>492</v>
      </c>
      <c r="I89" s="184" t="s">
        <v>1310</v>
      </c>
      <c r="J89" s="184" t="s">
        <v>1685</v>
      </c>
      <c r="K89" s="185" t="s">
        <v>492</v>
      </c>
      <c r="M89" s="1557"/>
    </row>
    <row r="90" spans="1:13" ht="15.6" outlineLevel="1">
      <c r="A90" s="1555"/>
      <c r="B90" s="112"/>
      <c r="C90" s="1661"/>
      <c r="D90" s="1662"/>
      <c r="E90" s="186"/>
      <c r="F90" s="1559"/>
      <c r="G90" s="1559"/>
      <c r="H90" s="189"/>
      <c r="I90" s="190"/>
      <c r="J90" s="190"/>
      <c r="K90" s="1575"/>
      <c r="M90" s="1557"/>
    </row>
    <row r="91" spans="1:13" ht="15.6" outlineLevel="1">
      <c r="A91" s="1555"/>
      <c r="B91" s="112"/>
      <c r="C91" s="1661"/>
      <c r="D91" s="1662"/>
      <c r="E91" s="1559"/>
      <c r="F91" s="1559"/>
      <c r="G91" s="191"/>
      <c r="H91" s="191"/>
      <c r="I91" s="191"/>
      <c r="J91" s="190"/>
      <c r="K91" s="321"/>
      <c r="M91" s="1557"/>
    </row>
    <row r="92" spans="1:13" ht="15.6" outlineLevel="1">
      <c r="A92" s="1555"/>
      <c r="B92" s="112"/>
      <c r="C92" s="1661"/>
      <c r="D92" s="1662"/>
      <c r="E92" s="1559"/>
      <c r="F92" s="1559"/>
      <c r="G92" s="191"/>
      <c r="H92" s="191"/>
      <c r="I92" s="191"/>
      <c r="J92" s="190"/>
      <c r="K92" s="321"/>
      <c r="M92" s="1557"/>
    </row>
    <row r="93" spans="1:13" ht="15.6" outlineLevel="1">
      <c r="A93" s="1555"/>
      <c r="B93" s="112"/>
      <c r="C93" s="1661"/>
      <c r="D93" s="1662"/>
      <c r="E93" s="192"/>
      <c r="F93" s="192"/>
      <c r="G93" s="191"/>
      <c r="H93" s="191"/>
      <c r="I93" s="191"/>
      <c r="J93" s="190"/>
      <c r="K93" s="321"/>
      <c r="M93" s="1557"/>
    </row>
    <row r="94" spans="1:13" ht="15.6" outlineLevel="1">
      <c r="A94" s="1555"/>
      <c r="B94" s="112"/>
      <c r="C94" s="1661"/>
      <c r="D94" s="1662"/>
      <c r="E94" s="192"/>
      <c r="F94" s="192"/>
      <c r="G94" s="191"/>
      <c r="H94" s="191"/>
      <c r="I94" s="191"/>
      <c r="J94" s="190"/>
      <c r="K94" s="321"/>
      <c r="M94" s="1557"/>
    </row>
    <row r="95" spans="1:13" ht="15.6" outlineLevel="1">
      <c r="A95" s="1555"/>
      <c r="B95" s="112"/>
      <c r="C95" s="1661"/>
      <c r="D95" s="1662"/>
      <c r="E95" s="192"/>
      <c r="F95" s="192"/>
      <c r="G95" s="191"/>
      <c r="H95" s="191"/>
      <c r="I95" s="191"/>
      <c r="J95" s="190"/>
      <c r="K95" s="321"/>
      <c r="M95" s="1557"/>
    </row>
    <row r="96" spans="1:13" outlineLevel="1">
      <c r="A96" s="193"/>
      <c r="B96" s="112"/>
      <c r="C96" s="1661"/>
      <c r="D96" s="1662"/>
      <c r="E96" s="192"/>
      <c r="F96" s="192"/>
      <c r="G96" s="191"/>
      <c r="H96" s="191"/>
      <c r="I96" s="191"/>
      <c r="J96" s="190"/>
      <c r="K96" s="321"/>
      <c r="M96" s="194"/>
    </row>
    <row r="97" spans="1:13" outlineLevel="1">
      <c r="A97" s="193"/>
      <c r="B97" s="112"/>
      <c r="C97" s="1661"/>
      <c r="D97" s="1662"/>
      <c r="E97" s="192"/>
      <c r="F97" s="192"/>
      <c r="G97" s="191"/>
      <c r="H97" s="191"/>
      <c r="I97" s="191"/>
      <c r="J97" s="190"/>
      <c r="K97" s="321"/>
      <c r="M97" s="194"/>
    </row>
    <row r="98" spans="1:13" outlineLevel="1">
      <c r="A98" s="193"/>
      <c r="B98" s="112"/>
      <c r="C98" s="1661"/>
      <c r="D98" s="1662"/>
      <c r="E98" s="192"/>
      <c r="F98" s="192"/>
      <c r="G98" s="191"/>
      <c r="H98" s="191"/>
      <c r="I98" s="191"/>
      <c r="J98" s="190"/>
      <c r="K98" s="321"/>
      <c r="M98" s="194"/>
    </row>
    <row r="99" spans="1:13" ht="15" outlineLevel="1" thickBot="1">
      <c r="A99" s="193"/>
      <c r="B99" s="112"/>
      <c r="C99" s="1673"/>
      <c r="D99" s="1674"/>
      <c r="E99" s="195"/>
      <c r="F99" s="195"/>
      <c r="G99" s="196"/>
      <c r="H99" s="196"/>
      <c r="I99" s="196"/>
      <c r="J99" s="196"/>
      <c r="K99" s="324"/>
      <c r="M99" s="194"/>
    </row>
    <row r="100" spans="1:13" ht="15" thickBot="1">
      <c r="A100" s="199"/>
      <c r="B100" s="201"/>
      <c r="C100" s="201"/>
      <c r="D100" s="201"/>
      <c r="E100" s="201"/>
      <c r="F100" s="1578"/>
      <c r="G100" s="1578"/>
      <c r="H100" s="1579"/>
      <c r="I100" s="1579"/>
      <c r="J100" s="201"/>
      <c r="K100" s="201"/>
      <c r="L100" s="201"/>
      <c r="M100" s="204"/>
    </row>
    <row r="101" spans="1:13" ht="15" thickTop="1"/>
    <row r="102" spans="1:13"/>
    <row r="103" spans="1:13"/>
    <row r="104" spans="1:13"/>
    <row r="105" spans="1:13"/>
    <row r="106" spans="1:13"/>
    <row r="107" spans="1:13"/>
    <row r="108" spans="1:13"/>
    <row r="109" spans="1:13"/>
    <row r="110" spans="1:13"/>
    <row r="111" spans="1:13"/>
    <row r="112" spans="1:13"/>
    <row r="113"/>
    <row r="114"/>
    <row r="115"/>
    <row r="116"/>
    <row r="117"/>
    <row r="118"/>
    <row r="119"/>
    <row r="120"/>
    <row r="121"/>
    <row r="122"/>
    <row r="123"/>
    <row r="124"/>
    <row r="125"/>
    <row r="126"/>
    <row r="127"/>
  </sheetData>
  <mergeCells count="51">
    <mergeCell ref="B39:D39"/>
    <mergeCell ref="A44:M44"/>
    <mergeCell ref="D11:L11"/>
    <mergeCell ref="A37:M37"/>
    <mergeCell ref="A8:M8"/>
    <mergeCell ref="A13:M13"/>
    <mergeCell ref="C16:H16"/>
    <mergeCell ref="C22:H22"/>
    <mergeCell ref="C24:H24"/>
    <mergeCell ref="C33:H33"/>
    <mergeCell ref="C28:H28"/>
    <mergeCell ref="C32:H32"/>
    <mergeCell ref="C34:H34"/>
    <mergeCell ref="C27:H27"/>
    <mergeCell ref="C35:H35"/>
    <mergeCell ref="C53:D53"/>
    <mergeCell ref="C54:D54"/>
    <mergeCell ref="C55:D55"/>
    <mergeCell ref="C49:D49"/>
    <mergeCell ref="E46:F46"/>
    <mergeCell ref="C88:D89"/>
    <mergeCell ref="E88:F88"/>
    <mergeCell ref="G88:H88"/>
    <mergeCell ref="I88:K88"/>
    <mergeCell ref="C75:H75"/>
    <mergeCell ref="C90:D90"/>
    <mergeCell ref="C91:D91"/>
    <mergeCell ref="C92:D92"/>
    <mergeCell ref="C93:D93"/>
    <mergeCell ref="C94:D94"/>
    <mergeCell ref="C95:D95"/>
    <mergeCell ref="C96:D96"/>
    <mergeCell ref="C97:D97"/>
    <mergeCell ref="C98:D98"/>
    <mergeCell ref="C99:D99"/>
    <mergeCell ref="I46:K46"/>
    <mergeCell ref="C46:D47"/>
    <mergeCell ref="G46:H46"/>
    <mergeCell ref="C48:D48"/>
    <mergeCell ref="A86:M86"/>
    <mergeCell ref="C76:H76"/>
    <mergeCell ref="C77:H77"/>
    <mergeCell ref="A79:M79"/>
    <mergeCell ref="B81:D81"/>
    <mergeCell ref="A61:M61"/>
    <mergeCell ref="C64:H64"/>
    <mergeCell ref="C56:D56"/>
    <mergeCell ref="C57:D57"/>
    <mergeCell ref="C50:D50"/>
    <mergeCell ref="C51:D51"/>
    <mergeCell ref="C52:D52"/>
  </mergeCells>
  <dataValidations count="1">
    <dataValidation allowBlank="1" showErrorMessage="1" prompt="Inserir unidade" sqref="J16:J24 J26:J33 J64:J69 J71:J77" xr:uid="{00000000-0002-0000-0400-000000000000}"/>
  </dataValidations>
  <pageMargins left="0.511811024" right="0.511811024" top="0.78740157499999996" bottom="0.78740157499999996" header="0.31496062000000002" footer="0.31496062000000002"/>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978"/>
  </sheetPr>
  <dimension ref="A1:EO112"/>
  <sheetViews>
    <sheetView showGridLines="0" zoomScale="90" zoomScaleNormal="90" workbookViewId="0">
      <selection activeCell="E39" sqref="E39"/>
    </sheetView>
  </sheetViews>
  <sheetFormatPr defaultColWidth="0" defaultRowHeight="14.4" zeroHeight="1"/>
  <cols>
    <col min="1" max="1" width="2.6640625" style="5" customWidth="1"/>
    <col min="2" max="2" width="3.44140625" style="5" customWidth="1"/>
    <col min="3" max="3" width="11" style="14" customWidth="1"/>
    <col min="4" max="6" width="14.6640625" style="5" customWidth="1"/>
    <col min="7" max="7" width="13.88671875" style="5" customWidth="1"/>
    <col min="8" max="8" width="16.109375" style="5" customWidth="1"/>
    <col min="9" max="11" width="14.6640625" style="5" customWidth="1"/>
    <col min="12" max="12" width="19" style="5" customWidth="1"/>
    <col min="13" max="13" width="13.109375" style="5" customWidth="1"/>
    <col min="14" max="14" width="14.6640625" style="5" customWidth="1"/>
    <col min="15" max="15" width="8.6640625" style="9" customWidth="1"/>
    <col min="16" max="19" width="14.6640625" style="9" hidden="1" customWidth="1"/>
    <col min="20" max="31" width="8.88671875" style="9" hidden="1" customWidth="1"/>
    <col min="32" max="138" width="0" style="9" hidden="1" customWidth="1"/>
    <col min="139" max="145" width="0" style="5" hidden="1" customWidth="1"/>
    <col min="146" max="16384" width="8.88671875" style="5" hidden="1"/>
  </cols>
  <sheetData>
    <row r="1" spans="1:138"/>
    <row r="2" spans="1:138"/>
    <row r="3" spans="1:138"/>
    <row r="4" spans="1:138"/>
    <row r="5" spans="1:138"/>
    <row r="6" spans="1:138"/>
    <row r="7" spans="1:138" s="49" customFormat="1" ht="18.600000000000001" thickBot="1">
      <c r="A7" s="46"/>
      <c r="B7" s="1688" t="s">
        <v>489</v>
      </c>
      <c r="C7" s="1689"/>
      <c r="D7" s="1689"/>
      <c r="E7" s="1689"/>
      <c r="F7" s="1689"/>
      <c r="G7" s="1689"/>
      <c r="H7" s="1689"/>
      <c r="I7" s="1689"/>
      <c r="J7" s="1689"/>
      <c r="K7" s="1689"/>
      <c r="L7" s="1689"/>
      <c r="M7" s="1689"/>
      <c r="N7" s="1690"/>
      <c r="O7" s="47"/>
      <c r="P7" s="48"/>
      <c r="Q7" s="48"/>
      <c r="R7" s="48"/>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row>
    <row r="8" spans="1:138" s="14" customFormat="1" ht="18.600000000000001" thickTop="1">
      <c r="B8" s="50"/>
      <c r="D8" s="1190"/>
      <c r="E8" s="1190"/>
      <c r="F8" s="1190" t="s">
        <v>1124</v>
      </c>
      <c r="H8" s="1190"/>
      <c r="I8" s="1190"/>
      <c r="J8" s="20"/>
      <c r="K8" s="52"/>
      <c r="L8" s="53"/>
      <c r="M8" s="53"/>
      <c r="N8" s="54"/>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row>
    <row r="9" spans="1:138" s="14" customFormat="1" ht="30" customHeight="1">
      <c r="B9" s="50"/>
      <c r="D9" s="1189"/>
      <c r="E9" s="1171"/>
      <c r="F9" s="1696" t="s">
        <v>1300</v>
      </c>
      <c r="G9" s="1696"/>
      <c r="H9" s="1696"/>
      <c r="I9" s="1696"/>
      <c r="J9" s="1696"/>
      <c r="K9" s="1696"/>
      <c r="L9" s="1696"/>
      <c r="M9" s="53"/>
      <c r="N9" s="54"/>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row>
    <row r="10" spans="1:138" s="14" customFormat="1" ht="18.75" customHeight="1">
      <c r="B10" s="50"/>
      <c r="C10" s="55"/>
      <c r="D10" s="55"/>
      <c r="E10" s="55"/>
      <c r="F10" s="55"/>
      <c r="G10" s="55"/>
      <c r="H10" s="55"/>
      <c r="I10" s="55"/>
      <c r="J10" s="55"/>
      <c r="K10" s="55"/>
      <c r="L10" s="55"/>
      <c r="M10" s="53"/>
      <c r="N10" s="54"/>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row>
    <row r="11" spans="1:138" s="56" customFormat="1" ht="15.6">
      <c r="B11" s="1691" t="s">
        <v>488</v>
      </c>
      <c r="C11" s="1692"/>
      <c r="D11" s="1692"/>
      <c r="E11" s="1692"/>
      <c r="F11" s="1692"/>
      <c r="G11" s="1692"/>
      <c r="H11" s="1692"/>
      <c r="I11" s="1692"/>
      <c r="J11" s="1692"/>
      <c r="K11" s="1692"/>
      <c r="L11" s="1692"/>
      <c r="M11" s="1692"/>
      <c r="N11" s="1693"/>
      <c r="O11" s="57"/>
      <c r="P11" s="57"/>
      <c r="Q11" s="57"/>
      <c r="R11" s="57"/>
      <c r="S11" s="57"/>
    </row>
    <row r="12" spans="1:138" s="56" customFormat="1" ht="16.2" thickBot="1">
      <c r="B12" s="58"/>
      <c r="C12" s="59"/>
      <c r="D12" s="60"/>
      <c r="E12" s="60"/>
      <c r="F12" s="60"/>
      <c r="G12" s="60"/>
      <c r="H12" s="60"/>
      <c r="I12" s="60"/>
      <c r="J12" s="60"/>
      <c r="K12" s="60"/>
      <c r="L12" s="60"/>
      <c r="M12" s="57"/>
      <c r="N12" s="54"/>
      <c r="O12" s="57"/>
      <c r="P12" s="57"/>
      <c r="Q12" s="57"/>
      <c r="R12" s="57"/>
      <c r="S12" s="57"/>
    </row>
    <row r="13" spans="1:138" s="56" customFormat="1" ht="15.6">
      <c r="B13" s="58"/>
      <c r="C13" s="59"/>
      <c r="D13" s="1091" t="s">
        <v>499</v>
      </c>
      <c r="E13" s="61"/>
      <c r="F13" s="61"/>
      <c r="G13" s="61"/>
      <c r="H13" s="61"/>
      <c r="I13" s="61"/>
      <c r="J13" s="1098" t="s">
        <v>492</v>
      </c>
      <c r="K13" s="1098" t="s">
        <v>24</v>
      </c>
      <c r="L13" s="1099" t="s">
        <v>501</v>
      </c>
      <c r="M13" s="57"/>
      <c r="N13" s="54"/>
      <c r="O13" s="57"/>
      <c r="P13" s="57"/>
      <c r="Q13" s="57"/>
      <c r="R13" s="57"/>
      <c r="S13" s="57"/>
    </row>
    <row r="14" spans="1:138" s="56" customFormat="1" ht="15.6">
      <c r="B14" s="58"/>
      <c r="C14" s="59"/>
      <c r="D14" s="1694" t="s">
        <v>0</v>
      </c>
      <c r="E14" s="1695"/>
      <c r="F14" s="1695"/>
      <c r="G14" s="1695"/>
      <c r="H14" s="1695"/>
      <c r="I14" s="1695"/>
      <c r="J14" s="1695"/>
      <c r="K14" s="62"/>
      <c r="L14" s="63"/>
      <c r="M14" s="57"/>
      <c r="N14" s="54"/>
      <c r="O14" s="57"/>
      <c r="P14" s="57"/>
      <c r="Q14" s="57"/>
      <c r="R14" s="57"/>
      <c r="S14" s="57"/>
    </row>
    <row r="15" spans="1:138" s="56" customFormat="1" ht="16.8">
      <c r="B15" s="58"/>
      <c r="C15" s="57"/>
      <c r="D15" s="64" t="s">
        <v>1316</v>
      </c>
      <c r="E15" s="65"/>
      <c r="F15" s="65"/>
      <c r="G15" s="65"/>
      <c r="H15" s="65"/>
      <c r="I15" s="65"/>
      <c r="J15" s="66">
        <v>0</v>
      </c>
      <c r="K15" s="67" t="s">
        <v>1317</v>
      </c>
      <c r="L15" s="68"/>
      <c r="M15" s="57"/>
      <c r="N15" s="69"/>
      <c r="O15" s="57"/>
      <c r="P15" s="57"/>
      <c r="Q15" s="57"/>
      <c r="R15" s="57"/>
      <c r="S15" s="57"/>
    </row>
    <row r="16" spans="1:138" s="56" customFormat="1" ht="16.8">
      <c r="B16" s="58"/>
      <c r="C16" s="57"/>
      <c r="D16" s="70" t="s">
        <v>1318</v>
      </c>
      <c r="E16" s="71"/>
      <c r="F16" s="71"/>
      <c r="G16" s="71"/>
      <c r="H16" s="71"/>
      <c r="I16" s="71"/>
      <c r="J16" s="72">
        <v>0</v>
      </c>
      <c r="K16" s="73" t="s">
        <v>1317</v>
      </c>
      <c r="L16" s="74"/>
      <c r="M16" s="57"/>
      <c r="N16" s="54"/>
      <c r="O16" s="57"/>
      <c r="P16" s="57"/>
      <c r="Q16" s="57"/>
      <c r="R16" s="57"/>
      <c r="S16" s="57"/>
    </row>
    <row r="17" spans="1:25" s="56" customFormat="1" ht="16.8">
      <c r="A17" s="57"/>
      <c r="B17" s="58"/>
      <c r="C17" s="57"/>
      <c r="D17" s="70" t="s">
        <v>1319</v>
      </c>
      <c r="E17" s="71"/>
      <c r="F17" s="71"/>
      <c r="G17" s="71"/>
      <c r="H17" s="71"/>
      <c r="I17" s="71"/>
      <c r="J17" s="75">
        <f>IF(J15="","",J15+J16)</f>
        <v>0</v>
      </c>
      <c r="K17" s="67" t="s">
        <v>1317</v>
      </c>
      <c r="L17" s="76"/>
      <c r="M17" s="57"/>
      <c r="N17" s="54"/>
      <c r="O17" s="57"/>
      <c r="P17" s="57"/>
      <c r="Q17" s="57"/>
      <c r="R17" s="57"/>
      <c r="S17" s="57"/>
    </row>
    <row r="18" spans="1:25" s="56" customFormat="1" ht="16.2">
      <c r="A18" s="57"/>
      <c r="B18" s="58"/>
      <c r="C18" s="57"/>
      <c r="D18" s="70" t="s">
        <v>1320</v>
      </c>
      <c r="E18" s="71"/>
      <c r="F18" s="71"/>
      <c r="G18" s="71"/>
      <c r="H18" s="71"/>
      <c r="I18" s="71"/>
      <c r="J18" s="66">
        <v>0</v>
      </c>
      <c r="K18" s="77" t="s">
        <v>17</v>
      </c>
      <c r="L18" s="68"/>
      <c r="M18" s="57"/>
      <c r="N18" s="54"/>
      <c r="O18" s="57"/>
      <c r="P18" s="57"/>
      <c r="Q18" s="57"/>
      <c r="R18" s="57"/>
      <c r="S18" s="57"/>
    </row>
    <row r="19" spans="1:25" s="56" customFormat="1" ht="15.6">
      <c r="A19" s="57"/>
      <c r="B19" s="58"/>
      <c r="C19" s="57"/>
      <c r="D19" s="1694" t="s">
        <v>1</v>
      </c>
      <c r="E19" s="1695"/>
      <c r="F19" s="1695"/>
      <c r="G19" s="1695"/>
      <c r="H19" s="1695"/>
      <c r="I19" s="1695"/>
      <c r="J19" s="1695"/>
      <c r="K19" s="78"/>
      <c r="L19" s="79"/>
      <c r="M19" s="57"/>
      <c r="N19" s="54"/>
      <c r="O19" s="57"/>
      <c r="P19" s="57"/>
      <c r="Q19" s="57"/>
      <c r="R19" s="57"/>
      <c r="S19" s="57"/>
    </row>
    <row r="20" spans="1:25" s="56" customFormat="1" ht="16.8">
      <c r="A20" s="57"/>
      <c r="B20" s="58"/>
      <c r="C20" s="57"/>
      <c r="D20" s="70" t="s">
        <v>1318</v>
      </c>
      <c r="E20" s="71"/>
      <c r="F20" s="71"/>
      <c r="G20" s="71"/>
      <c r="H20" s="71"/>
      <c r="I20" s="71"/>
      <c r="J20" s="66">
        <v>0</v>
      </c>
      <c r="K20" s="67" t="s">
        <v>1317</v>
      </c>
      <c r="L20" s="68"/>
      <c r="M20" s="57"/>
      <c r="N20" s="54"/>
      <c r="O20" s="57"/>
      <c r="P20" s="57"/>
      <c r="Q20" s="57"/>
      <c r="R20" s="57"/>
      <c r="S20" s="57"/>
    </row>
    <row r="21" spans="1:25" s="56" customFormat="1" ht="15.6">
      <c r="A21" s="57"/>
      <c r="B21" s="58"/>
      <c r="C21" s="57"/>
      <c r="D21" s="1694" t="s">
        <v>1117</v>
      </c>
      <c r="E21" s="1695"/>
      <c r="F21" s="1695"/>
      <c r="G21" s="1695"/>
      <c r="H21" s="1695"/>
      <c r="I21" s="1695"/>
      <c r="J21" s="1695"/>
      <c r="K21" s="78"/>
      <c r="L21" s="80"/>
      <c r="M21" s="81"/>
      <c r="N21" s="54"/>
      <c r="O21" s="57"/>
      <c r="P21" s="57"/>
      <c r="Q21" s="57"/>
      <c r="R21" s="57"/>
      <c r="S21" s="57"/>
    </row>
    <row r="22" spans="1:25" s="56" customFormat="1" ht="16.8">
      <c r="A22" s="57"/>
      <c r="B22" s="58"/>
      <c r="C22" s="57"/>
      <c r="D22" s="82" t="s">
        <v>1321</v>
      </c>
      <c r="E22" s="83"/>
      <c r="F22" s="83"/>
      <c r="G22" s="83"/>
      <c r="H22" s="83"/>
      <c r="I22" s="83"/>
      <c r="J22" s="66">
        <v>0</v>
      </c>
      <c r="K22" s="67" t="s">
        <v>1317</v>
      </c>
      <c r="L22" s="68"/>
      <c r="M22" s="57"/>
      <c r="N22" s="54"/>
      <c r="O22" s="57"/>
      <c r="P22" s="57"/>
      <c r="Q22" s="57"/>
      <c r="R22" s="57"/>
      <c r="S22" s="57"/>
    </row>
    <row r="23" spans="1:25" s="56" customFormat="1" ht="16.8">
      <c r="A23" s="57"/>
      <c r="B23" s="58"/>
      <c r="C23" s="57"/>
      <c r="D23" s="82" t="s">
        <v>1322</v>
      </c>
      <c r="E23" s="71"/>
      <c r="F23" s="71"/>
      <c r="G23" s="71"/>
      <c r="H23" s="71"/>
      <c r="I23" s="71"/>
      <c r="J23" s="84">
        <v>0</v>
      </c>
      <c r="K23" s="67" t="s">
        <v>1317</v>
      </c>
      <c r="L23" s="68"/>
      <c r="M23" s="57"/>
      <c r="N23" s="54"/>
      <c r="O23" s="57"/>
      <c r="P23" s="57"/>
      <c r="Q23" s="57"/>
      <c r="R23" s="57"/>
      <c r="S23" s="57"/>
    </row>
    <row r="24" spans="1:25" s="56" customFormat="1" ht="15.6">
      <c r="A24" s="57"/>
      <c r="B24" s="58"/>
      <c r="C24" s="57"/>
      <c r="D24" s="1094" t="s">
        <v>1087</v>
      </c>
      <c r="E24" s="83"/>
      <c r="F24" s="83"/>
      <c r="G24" s="83"/>
      <c r="H24" s="83"/>
      <c r="I24" s="83"/>
      <c r="J24" s="85"/>
      <c r="K24" s="67"/>
      <c r="L24" s="80"/>
      <c r="M24" s="57"/>
      <c r="N24" s="54"/>
      <c r="O24" s="57"/>
      <c r="P24" s="57"/>
      <c r="Q24" s="57"/>
      <c r="R24" s="57"/>
      <c r="S24" s="57"/>
    </row>
    <row r="25" spans="1:25" s="56" customFormat="1" ht="16.8">
      <c r="A25" s="57"/>
      <c r="B25" s="58"/>
      <c r="C25" s="57"/>
      <c r="D25" s="70" t="s">
        <v>1323</v>
      </c>
      <c r="E25" s="71"/>
      <c r="F25" s="71"/>
      <c r="G25" s="71"/>
      <c r="H25" s="71"/>
      <c r="I25" s="71"/>
      <c r="J25" s="86">
        <v>0</v>
      </c>
      <c r="K25" s="78" t="s">
        <v>1324</v>
      </c>
      <c r="L25" s="87"/>
      <c r="M25" s="57"/>
      <c r="N25" s="54"/>
      <c r="O25" s="57"/>
      <c r="P25" s="57"/>
      <c r="Q25" s="57"/>
      <c r="R25" s="57"/>
      <c r="S25" s="57"/>
    </row>
    <row r="26" spans="1:25" s="56" customFormat="1" ht="16.8" thickBot="1">
      <c r="A26" s="57"/>
      <c r="B26" s="58"/>
      <c r="C26" s="57"/>
      <c r="D26" s="88" t="s">
        <v>1325</v>
      </c>
      <c r="E26" s="89"/>
      <c r="F26" s="89"/>
      <c r="G26" s="89"/>
      <c r="H26" s="89"/>
      <c r="I26" s="89"/>
      <c r="J26" s="90">
        <v>0</v>
      </c>
      <c r="K26" s="91" t="s">
        <v>13</v>
      </c>
      <c r="L26" s="92"/>
      <c r="M26" s="57"/>
      <c r="N26" s="54"/>
      <c r="O26" s="57"/>
      <c r="P26" s="57"/>
      <c r="Q26" s="57"/>
      <c r="R26" s="57"/>
      <c r="S26" s="57"/>
    </row>
    <row r="27" spans="1:25" s="56" customFormat="1" ht="15.6">
      <c r="B27" s="58"/>
      <c r="C27" s="57"/>
      <c r="M27" s="57"/>
      <c r="N27" s="54"/>
      <c r="O27" s="57"/>
      <c r="P27" s="57"/>
      <c r="Q27" s="57"/>
      <c r="R27" s="57"/>
      <c r="S27" s="57"/>
      <c r="Y27" s="57"/>
    </row>
    <row r="28" spans="1:25" s="56" customFormat="1" ht="15.6">
      <c r="A28" s="57"/>
      <c r="B28" s="58"/>
      <c r="C28" s="57"/>
      <c r="D28" s="57"/>
      <c r="E28" s="57"/>
      <c r="F28" s="57"/>
      <c r="G28" s="57"/>
      <c r="H28" s="57"/>
      <c r="I28" s="57"/>
      <c r="J28" s="57"/>
      <c r="K28" s="57"/>
      <c r="L28" s="57"/>
      <c r="M28" s="57"/>
      <c r="N28" s="54"/>
      <c r="O28" s="57"/>
      <c r="P28" s="57"/>
      <c r="Q28" s="57"/>
      <c r="R28" s="57"/>
      <c r="S28" s="57"/>
      <c r="Y28" s="57"/>
    </row>
    <row r="29" spans="1:25" s="56" customFormat="1" ht="15.6">
      <c r="A29" s="57"/>
      <c r="B29" s="1663" t="s">
        <v>490</v>
      </c>
      <c r="C29" s="1664"/>
      <c r="D29" s="1664"/>
      <c r="E29" s="1664"/>
      <c r="F29" s="1664"/>
      <c r="G29" s="1664"/>
      <c r="H29" s="1664"/>
      <c r="I29" s="1664"/>
      <c r="J29" s="1664"/>
      <c r="K29" s="1664"/>
      <c r="L29" s="1664"/>
      <c r="M29" s="1664"/>
      <c r="N29" s="1665"/>
      <c r="O29" s="57"/>
      <c r="P29" s="57"/>
      <c r="Q29" s="57"/>
      <c r="R29" s="57"/>
      <c r="S29" s="57"/>
      <c r="Y29" s="57"/>
    </row>
    <row r="30" spans="1:25" s="56" customFormat="1" ht="15.6">
      <c r="B30" s="58"/>
      <c r="C30" s="57"/>
      <c r="D30" s="57"/>
      <c r="E30" s="57"/>
      <c r="F30" s="57"/>
      <c r="G30" s="57"/>
      <c r="H30" s="57"/>
      <c r="I30" s="57"/>
      <c r="J30" s="57"/>
      <c r="K30" s="57"/>
      <c r="L30" s="57"/>
      <c r="M30" s="57"/>
      <c r="N30" s="54"/>
      <c r="O30" s="57"/>
      <c r="P30" s="57"/>
      <c r="Q30" s="57"/>
      <c r="R30" s="57"/>
      <c r="S30" s="57"/>
      <c r="Y30" s="57"/>
    </row>
    <row r="31" spans="1:25" s="56" customFormat="1" ht="16.2" thickBot="1">
      <c r="B31" s="58"/>
      <c r="C31" s="1697" t="s">
        <v>0</v>
      </c>
      <c r="D31" s="1697"/>
      <c r="E31" s="1697"/>
      <c r="F31" s="57"/>
      <c r="G31" s="1698" t="s">
        <v>1</v>
      </c>
      <c r="H31" s="1698"/>
      <c r="I31" s="1698"/>
      <c r="J31" s="57"/>
      <c r="K31" s="1697" t="s">
        <v>2</v>
      </c>
      <c r="L31" s="1697"/>
      <c r="M31" s="1697"/>
      <c r="N31" s="54"/>
      <c r="O31" s="57"/>
      <c r="P31" s="57"/>
      <c r="Q31" s="57"/>
      <c r="R31" s="57"/>
      <c r="S31" s="57"/>
      <c r="Y31" s="57"/>
    </row>
    <row r="32" spans="1:25" s="56" customFormat="1" ht="31.2">
      <c r="A32" s="57"/>
      <c r="B32" s="58"/>
      <c r="C32" s="1227" t="s">
        <v>491</v>
      </c>
      <c r="D32" s="1228" t="str">
        <f>IFERROR(J17/J18,"")</f>
        <v/>
      </c>
      <c r="E32" s="1229" t="str">
        <f>IF($K$18="Selecione","",(VLOOKUP($K$18,Plan1!A6:B12,2,0)))</f>
        <v>m3/unidade de produto</v>
      </c>
      <c r="F32" s="93"/>
      <c r="G32" s="1234" t="s">
        <v>20</v>
      </c>
      <c r="H32" s="1235">
        <f>IF(J20="","",J20)</f>
        <v>0</v>
      </c>
      <c r="I32" s="1236" t="s">
        <v>1525</v>
      </c>
      <c r="J32" s="93"/>
      <c r="K32" s="94" t="s">
        <v>21</v>
      </c>
      <c r="L32" s="95">
        <f>IF(J23="","",J23-J22)</f>
        <v>0</v>
      </c>
      <c r="M32" s="96" t="s">
        <v>497</v>
      </c>
      <c r="N32" s="54"/>
      <c r="O32" s="57"/>
      <c r="P32" s="57"/>
      <c r="Q32" s="57"/>
      <c r="R32" s="57"/>
      <c r="S32" s="57"/>
      <c r="X32" s="57"/>
      <c r="Y32" s="57"/>
    </row>
    <row r="33" spans="1:25" s="56" customFormat="1" ht="16.2" thickBot="1">
      <c r="A33" s="57"/>
      <c r="B33" s="58"/>
      <c r="C33" s="1230" t="s">
        <v>492</v>
      </c>
      <c r="D33" s="1231">
        <f>IFERROR(J17*J25+J26,"")</f>
        <v>0</v>
      </c>
      <c r="E33" s="1232" t="s">
        <v>13</v>
      </c>
      <c r="F33" s="93"/>
      <c r="G33" s="1237" t="s">
        <v>492</v>
      </c>
      <c r="H33" s="1238">
        <f>IFERROR(IF(J20="","",((H32*J25)+J26)),"")</f>
        <v>0</v>
      </c>
      <c r="I33" s="1239" t="s">
        <v>13</v>
      </c>
      <c r="J33" s="93"/>
      <c r="K33" s="97" t="s">
        <v>493</v>
      </c>
      <c r="L33" s="98">
        <f>IFERROR(IF(J23="","",IF(J22&gt;J23,(L32*J25-J26),L32*J25+J26)),"")</f>
        <v>0</v>
      </c>
      <c r="M33" s="99" t="s">
        <v>13</v>
      </c>
      <c r="N33" s="54"/>
      <c r="O33" s="57"/>
      <c r="P33" s="57"/>
      <c r="Q33" s="57"/>
      <c r="R33" s="57"/>
      <c r="S33" s="57"/>
      <c r="X33" s="57"/>
      <c r="Y33" s="57"/>
    </row>
    <row r="34" spans="1:25" s="56" customFormat="1" ht="15.6">
      <c r="A34" s="57"/>
      <c r="B34" s="58"/>
      <c r="C34" s="100"/>
      <c r="D34" s="101"/>
      <c r="E34" s="102"/>
      <c r="F34" s="93"/>
      <c r="G34" s="93"/>
      <c r="H34" s="101"/>
      <c r="I34" s="103"/>
      <c r="J34" s="93"/>
      <c r="K34" s="93"/>
      <c r="L34" s="104"/>
      <c r="M34" s="105"/>
      <c r="N34" s="54"/>
      <c r="O34" s="57"/>
      <c r="P34" s="57"/>
      <c r="Q34" s="57"/>
      <c r="R34" s="57"/>
      <c r="S34" s="57"/>
      <c r="X34" s="57"/>
      <c r="Y34" s="57"/>
    </row>
    <row r="35" spans="1:25" s="56" customFormat="1" ht="15.6">
      <c r="A35" s="57"/>
      <c r="B35" s="58"/>
      <c r="C35" s="100"/>
      <c r="D35" s="101"/>
      <c r="E35" s="102"/>
      <c r="F35" s="93"/>
      <c r="G35" s="93"/>
      <c r="H35" s="101"/>
      <c r="I35" s="103"/>
      <c r="J35" s="93"/>
      <c r="K35" s="93"/>
      <c r="L35" s="104"/>
      <c r="M35" s="105"/>
      <c r="N35" s="54"/>
      <c r="O35" s="57"/>
      <c r="P35" s="57"/>
      <c r="Q35" s="57"/>
      <c r="R35" s="57"/>
      <c r="S35" s="57"/>
      <c r="X35" s="57"/>
      <c r="Y35" s="57"/>
    </row>
    <row r="36" spans="1:25" s="56" customFormat="1" ht="15.6">
      <c r="A36" s="57"/>
      <c r="B36" s="58"/>
      <c r="C36" s="100"/>
      <c r="D36" s="101"/>
      <c r="E36" s="102"/>
      <c r="F36" s="93"/>
      <c r="G36" s="93"/>
      <c r="H36" s="101"/>
      <c r="I36" s="103"/>
      <c r="J36" s="93"/>
      <c r="K36" s="93"/>
      <c r="L36" s="104"/>
      <c r="M36" s="105"/>
      <c r="N36" s="54"/>
      <c r="O36" s="57"/>
      <c r="P36" s="57"/>
      <c r="Q36" s="57"/>
      <c r="R36" s="57"/>
      <c r="S36" s="57"/>
      <c r="X36" s="57"/>
      <c r="Y36" s="57"/>
    </row>
    <row r="37" spans="1:25" s="56" customFormat="1" ht="15.6">
      <c r="A37" s="57"/>
      <c r="B37" s="1707" t="s">
        <v>1298</v>
      </c>
      <c r="C37" s="1708"/>
      <c r="D37" s="1708"/>
      <c r="E37" s="1708"/>
      <c r="F37" s="1708"/>
      <c r="G37" s="1708"/>
      <c r="H37" s="1708"/>
      <c r="I37" s="1708"/>
      <c r="J37" s="1708"/>
      <c r="K37" s="1708"/>
      <c r="L37" s="1708"/>
      <c r="M37" s="1708"/>
      <c r="N37" s="1709"/>
      <c r="O37" s="57"/>
      <c r="P37" s="57"/>
      <c r="Q37" s="57"/>
      <c r="R37" s="57"/>
      <c r="S37" s="57"/>
      <c r="X37" s="57"/>
      <c r="Y37" s="57"/>
    </row>
    <row r="38" spans="1:25" s="56" customFormat="1" ht="15.6">
      <c r="A38" s="57"/>
      <c r="B38" s="106"/>
      <c r="C38" s="107"/>
      <c r="D38" s="108"/>
      <c r="E38" s="108"/>
      <c r="F38" s="108"/>
      <c r="G38" s="108"/>
      <c r="H38" s="108"/>
      <c r="I38" s="108"/>
      <c r="J38" s="108"/>
      <c r="K38" s="109"/>
      <c r="L38" s="110"/>
      <c r="M38" s="107"/>
      <c r="N38" s="111"/>
      <c r="O38" s="57"/>
      <c r="P38" s="57"/>
      <c r="Q38" s="57"/>
      <c r="R38" s="57"/>
      <c r="S38" s="57"/>
      <c r="X38" s="57"/>
      <c r="Y38" s="57"/>
    </row>
    <row r="39" spans="1:25" s="56" customFormat="1" ht="16.2" thickBot="1">
      <c r="A39" s="57"/>
      <c r="B39" s="58"/>
      <c r="C39" s="57"/>
      <c r="D39" s="57"/>
      <c r="E39" s="7" t="s">
        <v>1684</v>
      </c>
      <c r="F39" s="20"/>
      <c r="G39" s="20"/>
      <c r="H39" s="20"/>
      <c r="I39" s="112"/>
      <c r="J39" s="112"/>
      <c r="K39" s="112"/>
      <c r="L39" s="112"/>
      <c r="M39" s="113"/>
      <c r="N39" s="54"/>
      <c r="O39" s="57"/>
      <c r="P39" s="57"/>
      <c r="Q39" s="57"/>
      <c r="R39" s="57"/>
      <c r="S39" s="57"/>
      <c r="X39" s="57"/>
      <c r="Y39" s="57"/>
    </row>
    <row r="40" spans="1:25" s="56" customFormat="1" ht="15.6">
      <c r="A40" s="57"/>
      <c r="B40" s="58"/>
      <c r="C40" s="57"/>
      <c r="D40" s="57"/>
      <c r="E40" s="1699" t="s">
        <v>1175</v>
      </c>
      <c r="F40" s="1700"/>
      <c r="G40" s="1703" t="s">
        <v>0</v>
      </c>
      <c r="H40" s="1703"/>
      <c r="I40" s="1704" t="s">
        <v>1</v>
      </c>
      <c r="J40" s="1704"/>
      <c r="K40" s="1705" t="s">
        <v>2</v>
      </c>
      <c r="L40" s="1706"/>
      <c r="M40" s="113"/>
      <c r="N40" s="54"/>
      <c r="O40" s="57"/>
      <c r="P40" s="57"/>
      <c r="Q40" s="57"/>
      <c r="R40" s="57"/>
      <c r="S40" s="57"/>
      <c r="X40" s="57"/>
      <c r="Y40" s="57"/>
    </row>
    <row r="41" spans="1:25" s="56" customFormat="1" ht="15.6">
      <c r="A41" s="57"/>
      <c r="B41" s="58"/>
      <c r="C41" s="57"/>
      <c r="D41" s="57"/>
      <c r="E41" s="1701"/>
      <c r="F41" s="1702"/>
      <c r="G41" s="1233" t="s">
        <v>491</v>
      </c>
      <c r="H41" s="1233" t="s">
        <v>1157</v>
      </c>
      <c r="I41" s="1240" t="s">
        <v>20</v>
      </c>
      <c r="J41" s="1240" t="s">
        <v>1157</v>
      </c>
      <c r="K41" s="114" t="s">
        <v>21</v>
      </c>
      <c r="L41" s="115" t="s">
        <v>1157</v>
      </c>
      <c r="M41" s="113"/>
      <c r="N41" s="54"/>
      <c r="O41" s="57"/>
      <c r="P41" s="57"/>
      <c r="Q41" s="57"/>
      <c r="R41" s="57"/>
      <c r="S41" s="57"/>
      <c r="X41" s="57"/>
      <c r="Y41" s="57"/>
    </row>
    <row r="42" spans="1:25" s="56" customFormat="1" ht="15.6">
      <c r="A42" s="57"/>
      <c r="B42" s="58"/>
      <c r="C42" s="57"/>
      <c r="D42" s="57"/>
      <c r="E42" s="1710"/>
      <c r="F42" s="1711"/>
      <c r="G42" s="116"/>
      <c r="H42" s="116"/>
      <c r="I42" s="117"/>
      <c r="J42" s="117"/>
      <c r="K42" s="118"/>
      <c r="L42" s="119"/>
      <c r="M42" s="113"/>
      <c r="N42" s="54"/>
      <c r="O42" s="57"/>
      <c r="P42" s="57"/>
      <c r="Q42" s="57"/>
      <c r="R42" s="57"/>
      <c r="S42" s="57"/>
      <c r="X42" s="57"/>
      <c r="Y42" s="57"/>
    </row>
    <row r="43" spans="1:25" s="56" customFormat="1" ht="15.6">
      <c r="A43" s="57"/>
      <c r="B43" s="58"/>
      <c r="C43" s="57"/>
      <c r="D43" s="57"/>
      <c r="E43" s="1710"/>
      <c r="F43" s="1711"/>
      <c r="G43" s="116"/>
      <c r="H43" s="116"/>
      <c r="I43" s="117"/>
      <c r="J43" s="117"/>
      <c r="K43" s="118"/>
      <c r="L43" s="119"/>
      <c r="M43" s="113"/>
      <c r="N43" s="54"/>
      <c r="O43" s="57"/>
      <c r="P43" s="57"/>
      <c r="Q43" s="57"/>
      <c r="R43" s="57"/>
      <c r="S43" s="57"/>
      <c r="X43" s="57"/>
      <c r="Y43" s="57"/>
    </row>
    <row r="44" spans="1:25" s="56" customFormat="1" ht="15.6">
      <c r="B44" s="120"/>
      <c r="C44" s="57"/>
      <c r="D44" s="57"/>
      <c r="E44" s="1710"/>
      <c r="F44" s="1711"/>
      <c r="G44" s="116"/>
      <c r="H44" s="116"/>
      <c r="I44" s="116"/>
      <c r="J44" s="118"/>
      <c r="K44" s="118"/>
      <c r="L44" s="119"/>
      <c r="M44" s="113"/>
      <c r="N44" s="121"/>
      <c r="O44" s="57"/>
      <c r="P44" s="57"/>
      <c r="Q44" s="57"/>
      <c r="R44" s="57"/>
      <c r="S44" s="57"/>
      <c r="X44" s="57"/>
      <c r="Y44" s="57"/>
    </row>
    <row r="45" spans="1:25" s="56" customFormat="1" ht="15.6">
      <c r="B45" s="58"/>
      <c r="C45" s="57"/>
      <c r="D45" s="57"/>
      <c r="E45" s="1710"/>
      <c r="F45" s="1711"/>
      <c r="G45" s="116"/>
      <c r="H45" s="116"/>
      <c r="I45" s="116"/>
      <c r="J45" s="118"/>
      <c r="K45" s="118"/>
      <c r="L45" s="119"/>
      <c r="M45" s="113"/>
      <c r="N45" s="54"/>
      <c r="O45" s="57"/>
      <c r="P45" s="57"/>
      <c r="Q45" s="57"/>
      <c r="R45" s="57"/>
      <c r="S45" s="57"/>
      <c r="X45" s="57"/>
      <c r="Y45" s="57"/>
    </row>
    <row r="46" spans="1:25" s="56" customFormat="1" ht="15.6">
      <c r="B46" s="58"/>
      <c r="C46" s="57"/>
      <c r="D46" s="57"/>
      <c r="E46" s="1710"/>
      <c r="F46" s="1711"/>
      <c r="G46" s="116"/>
      <c r="H46" s="116"/>
      <c r="I46" s="118"/>
      <c r="J46" s="118"/>
      <c r="K46" s="118"/>
      <c r="L46" s="119"/>
      <c r="M46" s="113"/>
      <c r="N46" s="54"/>
      <c r="O46" s="57"/>
      <c r="P46" s="57"/>
      <c r="Q46" s="57"/>
      <c r="R46" s="57"/>
      <c r="S46" s="57"/>
      <c r="Y46" s="57"/>
    </row>
    <row r="47" spans="1:25" s="56" customFormat="1" ht="15.6">
      <c r="B47" s="58"/>
      <c r="C47" s="57"/>
      <c r="D47" s="57"/>
      <c r="E47" s="1710"/>
      <c r="F47" s="1711"/>
      <c r="G47" s="116"/>
      <c r="H47" s="116"/>
      <c r="I47" s="118"/>
      <c r="J47" s="118"/>
      <c r="K47" s="117"/>
      <c r="L47" s="119"/>
      <c r="M47" s="113"/>
      <c r="N47" s="121"/>
      <c r="O47" s="105"/>
      <c r="P47" s="105"/>
      <c r="Q47" s="105"/>
      <c r="R47" s="105"/>
      <c r="S47" s="105"/>
      <c r="Y47" s="57"/>
    </row>
    <row r="48" spans="1:25" s="56" customFormat="1" ht="15.6">
      <c r="B48" s="58"/>
      <c r="C48" s="57"/>
      <c r="D48" s="57"/>
      <c r="E48" s="1710"/>
      <c r="F48" s="1711"/>
      <c r="G48" s="116"/>
      <c r="H48" s="116"/>
      <c r="I48" s="118"/>
      <c r="J48" s="118"/>
      <c r="K48" s="117"/>
      <c r="L48" s="119"/>
      <c r="M48" s="122"/>
      <c r="N48" s="121"/>
      <c r="O48" s="105"/>
      <c r="P48" s="105"/>
      <c r="Q48" s="105"/>
      <c r="R48" s="105"/>
      <c r="S48" s="105"/>
      <c r="Y48" s="57"/>
    </row>
    <row r="49" spans="1:25" s="56" customFormat="1" ht="15.6">
      <c r="B49" s="58"/>
      <c r="C49" s="57"/>
      <c r="D49" s="57"/>
      <c r="E49" s="1710"/>
      <c r="F49" s="1711"/>
      <c r="G49" s="116"/>
      <c r="H49" s="116"/>
      <c r="I49" s="118"/>
      <c r="J49" s="118"/>
      <c r="K49" s="117"/>
      <c r="L49" s="119"/>
      <c r="M49" s="112"/>
      <c r="N49" s="121"/>
      <c r="O49" s="105"/>
      <c r="P49" s="105"/>
      <c r="Q49" s="105"/>
      <c r="R49" s="105"/>
      <c r="S49" s="105"/>
      <c r="Y49" s="57"/>
    </row>
    <row r="50" spans="1:25" s="56" customFormat="1" ht="15.6">
      <c r="B50" s="58"/>
      <c r="C50" s="57"/>
      <c r="D50" s="57"/>
      <c r="E50" s="1710"/>
      <c r="F50" s="1711"/>
      <c r="G50" s="116"/>
      <c r="H50" s="116"/>
      <c r="I50" s="118"/>
      <c r="J50" s="118"/>
      <c r="K50" s="117"/>
      <c r="L50" s="119"/>
      <c r="M50" s="112"/>
      <c r="N50" s="54"/>
      <c r="Y50" s="57"/>
    </row>
    <row r="51" spans="1:25" s="56" customFormat="1" ht="16.2" thickBot="1">
      <c r="B51" s="58"/>
      <c r="C51" s="57"/>
      <c r="D51" s="57"/>
      <c r="E51" s="1712"/>
      <c r="F51" s="1713"/>
      <c r="G51" s="123"/>
      <c r="H51" s="123"/>
      <c r="I51" s="124"/>
      <c r="J51" s="124"/>
      <c r="K51" s="125"/>
      <c r="L51" s="126"/>
      <c r="M51" s="112"/>
      <c r="N51" s="54"/>
      <c r="Y51" s="57"/>
    </row>
    <row r="52" spans="1:25" s="9" customFormat="1" ht="15" thickBot="1">
      <c r="A52" s="5"/>
      <c r="B52" s="127"/>
      <c r="C52" s="34"/>
      <c r="D52" s="35"/>
      <c r="E52" s="35"/>
      <c r="F52" s="35"/>
      <c r="G52" s="35"/>
      <c r="H52" s="35"/>
      <c r="I52" s="35"/>
      <c r="J52" s="35"/>
      <c r="K52" s="35"/>
      <c r="L52" s="35"/>
      <c r="M52" s="35"/>
      <c r="N52" s="36"/>
    </row>
    <row r="53" spans="1:25" s="9" customFormat="1" ht="15" thickTop="1">
      <c r="A53" s="5"/>
      <c r="B53" s="5"/>
      <c r="C53" s="14"/>
      <c r="D53" s="5"/>
      <c r="E53" s="5"/>
      <c r="F53" s="5"/>
      <c r="G53" s="5"/>
      <c r="H53" s="5"/>
      <c r="I53" s="5"/>
      <c r="J53" s="5"/>
      <c r="K53" s="5"/>
      <c r="L53" s="5"/>
      <c r="M53" s="5"/>
      <c r="N53" s="5"/>
    </row>
    <row r="54" spans="1:25" hidden="1"/>
    <row r="55" spans="1:25" hidden="1"/>
    <row r="56" spans="1:25" hidden="1"/>
    <row r="57" spans="1:25" hidden="1"/>
    <row r="58" spans="1:25" hidden="1"/>
    <row r="59" spans="1:25" hidden="1"/>
    <row r="60" spans="1:25" hidden="1"/>
    <row r="61" spans="1:25" hidden="1"/>
    <row r="62" spans="1:25" hidden="1"/>
    <row r="63" spans="1:25" hidden="1"/>
    <row r="64" spans="1:25" hidden="1"/>
    <row r="65" hidden="1"/>
    <row r="66" s="56" customFormat="1" ht="15.6" hidden="1"/>
    <row r="67" s="56" customFormat="1" ht="15.6" hidden="1"/>
    <row r="68" s="56" customFormat="1" ht="15.6" hidden="1"/>
    <row r="69" s="56" customFormat="1" ht="15.6" hidden="1"/>
    <row r="70" s="56" customFormat="1" ht="15.6" hidden="1"/>
    <row r="71" s="56" customFormat="1" ht="15.6" hidden="1"/>
    <row r="72" s="56" customFormat="1" ht="15.6" hidden="1"/>
    <row r="73" s="56" customFormat="1" ht="15.6" hidden="1"/>
    <row r="74" s="56" customFormat="1" ht="15.6" hidden="1"/>
    <row r="75" s="56" customFormat="1" ht="15.6" hidden="1"/>
    <row r="76" s="56" customFormat="1" ht="15.6" hidden="1"/>
    <row r="77" s="56" customFormat="1" ht="15.6" hidden="1"/>
    <row r="78" s="56" customFormat="1" ht="15.6" hidden="1"/>
    <row r="79" s="56" customFormat="1" ht="15.6" hidden="1"/>
    <row r="80" s="56" customFormat="1" ht="15.6" hidden="1"/>
    <row r="81" s="56" customFormat="1" ht="15.6" hidden="1"/>
    <row r="82" s="56" customFormat="1" ht="15.6" hidden="1"/>
    <row r="83" s="56" customFormat="1" ht="15.6" hidden="1"/>
    <row r="84" s="56" customFormat="1" ht="15.6" hidden="1"/>
    <row r="85" s="56" customFormat="1" ht="15.6" hidden="1"/>
    <row r="86" s="56" customFormat="1" ht="15.6" hidden="1"/>
    <row r="87" s="56" customFormat="1" ht="15.6" hidden="1"/>
    <row r="88" s="56" customFormat="1" ht="15.6" hidden="1"/>
    <row r="89" s="56" customFormat="1" ht="15.6" hidden="1"/>
    <row r="90" s="56" customFormat="1" ht="15.6" hidden="1"/>
    <row r="91" s="56" customFormat="1" ht="15.6" hidden="1"/>
    <row r="92" s="56" customFormat="1" ht="15.6" hidden="1"/>
    <row r="93" s="56" customFormat="1" ht="15.6" hidden="1"/>
    <row r="94" s="56" customFormat="1" ht="15.6" hidden="1"/>
    <row r="95" hidden="1"/>
    <row r="96" hidden="1"/>
    <row r="97" hidden="1"/>
    <row r="98" hidden="1"/>
    <row r="99" hidden="1"/>
    <row r="100" hidden="1"/>
    <row r="101" hidden="1"/>
    <row r="102" hidden="1"/>
    <row r="103" hidden="1"/>
    <row r="104"/>
    <row r="105"/>
    <row r="106"/>
    <row r="107"/>
    <row r="108"/>
    <row r="109"/>
    <row r="110"/>
    <row r="111"/>
    <row r="112"/>
  </sheetData>
  <mergeCells count="25">
    <mergeCell ref="E50:F50"/>
    <mergeCell ref="E51:F51"/>
    <mergeCell ref="E47:F47"/>
    <mergeCell ref="E48:F48"/>
    <mergeCell ref="E49:F49"/>
    <mergeCell ref="E45:F45"/>
    <mergeCell ref="E46:F46"/>
    <mergeCell ref="E42:F42"/>
    <mergeCell ref="E44:F44"/>
    <mergeCell ref="E43:F43"/>
    <mergeCell ref="C31:E31"/>
    <mergeCell ref="G31:I31"/>
    <mergeCell ref="E40:F41"/>
    <mergeCell ref="K31:M31"/>
    <mergeCell ref="G40:H40"/>
    <mergeCell ref="I40:J40"/>
    <mergeCell ref="K40:L40"/>
    <mergeCell ref="B37:N37"/>
    <mergeCell ref="B29:N29"/>
    <mergeCell ref="B7:N7"/>
    <mergeCell ref="B11:N11"/>
    <mergeCell ref="D14:J14"/>
    <mergeCell ref="D21:J21"/>
    <mergeCell ref="D19:J19"/>
    <mergeCell ref="F9:L9"/>
  </mergeCells>
  <dataValidations disablePrompts="1" count="3">
    <dataValidation type="list" allowBlank="1" showInputMessage="1" showErrorMessage="1" sqref="K18" xr:uid="{00000000-0002-0000-0500-000000000000}">
      <formula1>Unidade</formula1>
    </dataValidation>
    <dataValidation allowBlank="1" showErrorMessage="1" prompt="Inserir unidade" sqref="L38 K20 K15:K17 K22" xr:uid="{00000000-0002-0000-0500-000001000000}"/>
    <dataValidation type="custom" allowBlank="1" showInputMessage="1" showErrorMessage="1" sqref="J15" xr:uid="{00000000-0002-0000-0500-000002000000}">
      <formula1>AND(empresa&lt;&gt;0,empresa=0)=FALSE</formula1>
    </dataValidation>
  </dataValidations>
  <pageMargins left="0.511811024" right="0.511811024" top="0.78740157499999996" bottom="0.78740157499999996" header="0.31496062000000002" footer="0.31496062000000002"/>
  <pageSetup paperSize="9" orientation="portrait"/>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978"/>
  </sheetPr>
  <dimension ref="A1:EO4749"/>
  <sheetViews>
    <sheetView showGridLines="0" zoomScale="90" zoomScaleNormal="90" workbookViewId="0">
      <pane ySplit="7" topLeftCell="A30" activePane="bottomLeft" state="frozen"/>
      <selection pane="bottomLeft" activeCell="K43" sqref="K43"/>
    </sheetView>
  </sheetViews>
  <sheetFormatPr defaultColWidth="0" defaultRowHeight="14.4" zeroHeight="1"/>
  <cols>
    <col min="1" max="1" width="2.88671875" style="14" customWidth="1"/>
    <col min="2" max="2" width="3.44140625" style="5" customWidth="1"/>
    <col min="3" max="3" width="10.88671875" style="5" customWidth="1"/>
    <col min="4" max="6" width="14.6640625" style="5" customWidth="1"/>
    <col min="7" max="7" width="14.33203125" style="5" customWidth="1"/>
    <col min="8" max="8" width="16" style="5" customWidth="1"/>
    <col min="9" max="9" width="13.88671875" style="5" customWidth="1"/>
    <col min="10" max="10" width="17.109375" style="5" customWidth="1"/>
    <col min="11" max="11" width="14.6640625" style="5" customWidth="1"/>
    <col min="12" max="12" width="26" style="5" customWidth="1"/>
    <col min="13" max="13" width="11" style="5" bestFit="1" customWidth="1"/>
    <col min="14" max="14" width="8.33203125" style="5" customWidth="1"/>
    <col min="15" max="15" width="3.109375" style="5" customWidth="1"/>
    <col min="16" max="16" width="23.109375" style="5" customWidth="1"/>
    <col min="17" max="17" width="20.88671875" style="5" hidden="1" customWidth="1"/>
    <col min="18" max="18" width="8.88671875" style="5" hidden="1" customWidth="1"/>
    <col min="19" max="19" width="4.109375" style="5" hidden="1" customWidth="1"/>
    <col min="20" max="20" width="5.44140625" style="5" hidden="1" customWidth="1"/>
    <col min="21" max="21" width="7" style="14" hidden="1" customWidth="1"/>
    <col min="22" max="30" width="0" style="14" hidden="1" customWidth="1"/>
    <col min="31" max="145" width="0" style="5" hidden="1" customWidth="1"/>
    <col min="146" max="16384" width="8.88671875" style="5" hidden="1"/>
  </cols>
  <sheetData>
    <row r="1" spans="1:145">
      <c r="A1" s="134"/>
    </row>
    <row r="2" spans="1:145"/>
    <row r="3" spans="1:145"/>
    <row r="4" spans="1:145"/>
    <row r="5" spans="1:145"/>
    <row r="6" spans="1:145"/>
    <row r="7" spans="1:145" s="49" customFormat="1" ht="18">
      <c r="A7" s="46"/>
      <c r="B7" s="1720" t="s">
        <v>1144</v>
      </c>
      <c r="C7" s="1721"/>
      <c r="D7" s="1721"/>
      <c r="E7" s="1721"/>
      <c r="F7" s="1721"/>
      <c r="G7" s="1721"/>
      <c r="H7" s="1721"/>
      <c r="I7" s="1721"/>
      <c r="J7" s="1721"/>
      <c r="K7" s="1721"/>
      <c r="L7" s="1721"/>
      <c r="M7" s="1721"/>
      <c r="N7" s="1721"/>
      <c r="O7" s="48"/>
      <c r="P7" s="48"/>
      <c r="Q7" s="48"/>
      <c r="R7" s="48"/>
      <c r="S7" s="46"/>
      <c r="T7" s="46"/>
      <c r="U7" s="46"/>
      <c r="V7" s="46"/>
      <c r="W7" s="46"/>
      <c r="X7" s="46"/>
      <c r="Y7" s="46"/>
      <c r="Z7" s="46"/>
      <c r="AA7" s="46"/>
      <c r="AB7" s="46"/>
      <c r="AC7" s="260"/>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row>
    <row r="8" spans="1:145" s="134" customFormat="1" ht="18">
      <c r="B8" s="128"/>
      <c r="D8" s="112"/>
      <c r="E8" s="129" t="s">
        <v>1124</v>
      </c>
      <c r="F8" s="112"/>
      <c r="G8" s="112"/>
      <c r="H8" s="112"/>
      <c r="I8" s="112"/>
      <c r="J8" s="112"/>
      <c r="K8" s="130"/>
      <c r="L8" s="131"/>
      <c r="M8" s="131"/>
      <c r="N8" s="132"/>
    </row>
    <row r="9" spans="1:145" s="134" customFormat="1" ht="47.25" customHeight="1">
      <c r="B9" s="128"/>
      <c r="D9" s="133"/>
      <c r="E9" s="1672" t="s">
        <v>1299</v>
      </c>
      <c r="F9" s="1672"/>
      <c r="G9" s="1672"/>
      <c r="H9" s="1672"/>
      <c r="I9" s="1672"/>
      <c r="J9" s="1672"/>
      <c r="K9" s="1672"/>
      <c r="L9" s="1672"/>
      <c r="M9" s="1672"/>
      <c r="N9" s="132"/>
    </row>
    <row r="10" spans="1:145" s="134" customFormat="1" ht="15" customHeight="1">
      <c r="B10" s="128"/>
      <c r="C10" s="112"/>
      <c r="D10" s="112"/>
      <c r="E10" s="112"/>
      <c r="F10" s="112"/>
      <c r="G10" s="112"/>
      <c r="H10" s="112"/>
      <c r="I10" s="112"/>
      <c r="J10" s="112"/>
      <c r="K10" s="130"/>
      <c r="L10" s="131"/>
      <c r="M10" s="131"/>
      <c r="N10" s="132"/>
    </row>
    <row r="11" spans="1:145" s="56" customFormat="1" ht="15.6">
      <c r="B11" s="1722" t="s">
        <v>488</v>
      </c>
      <c r="C11" s="1723"/>
      <c r="D11" s="1723"/>
      <c r="E11" s="1723"/>
      <c r="F11" s="1723"/>
      <c r="G11" s="1723"/>
      <c r="H11" s="1723"/>
      <c r="I11" s="1723"/>
      <c r="J11" s="1723"/>
      <c r="K11" s="1723"/>
      <c r="L11" s="1723"/>
      <c r="M11" s="1723"/>
      <c r="N11" s="1724"/>
      <c r="O11" s="57"/>
      <c r="P11" s="57"/>
      <c r="Q11" s="57"/>
      <c r="R11" s="57"/>
      <c r="S11" s="57"/>
      <c r="T11" s="57"/>
      <c r="U11" s="57"/>
      <c r="V11" s="57"/>
      <c r="W11" s="57"/>
      <c r="X11" s="57"/>
    </row>
    <row r="12" spans="1:145" s="134" customFormat="1" ht="15" thickBot="1">
      <c r="B12" s="128"/>
      <c r="C12" s="112"/>
      <c r="D12" s="261"/>
      <c r="E12" s="261"/>
      <c r="F12" s="261"/>
      <c r="G12" s="261"/>
      <c r="H12" s="261"/>
      <c r="I12" s="261"/>
      <c r="J12" s="261"/>
      <c r="K12" s="112"/>
      <c r="L12" s="112"/>
      <c r="M12" s="112"/>
      <c r="N12" s="135"/>
      <c r="O12" s="112"/>
      <c r="P12" s="112"/>
      <c r="Q12" s="112"/>
      <c r="R12" s="112"/>
      <c r="S12" s="112"/>
      <c r="T12" s="112"/>
      <c r="U12" s="112"/>
      <c r="V12" s="112"/>
      <c r="W12" s="112"/>
      <c r="X12" s="112"/>
    </row>
    <row r="13" spans="1:145" s="134" customFormat="1">
      <c r="B13" s="128"/>
      <c r="C13" s="112"/>
      <c r="D13" s="1091" t="s">
        <v>499</v>
      </c>
      <c r="E13" s="61"/>
      <c r="F13" s="61"/>
      <c r="G13" s="61"/>
      <c r="H13" s="61"/>
      <c r="I13" s="61"/>
      <c r="J13" s="1098" t="s">
        <v>492</v>
      </c>
      <c r="K13" s="1098" t="s">
        <v>24</v>
      </c>
      <c r="L13" s="1099" t="s">
        <v>501</v>
      </c>
      <c r="M13" s="112"/>
      <c r="N13" s="135"/>
      <c r="O13" s="112"/>
      <c r="P13" s="112"/>
      <c r="Q13" s="112"/>
      <c r="R13" s="112"/>
      <c r="S13" s="112"/>
      <c r="T13" s="112"/>
      <c r="U13" s="112"/>
      <c r="V13" s="112"/>
      <c r="W13" s="112"/>
      <c r="X13" s="112"/>
    </row>
    <row r="14" spans="1:145" s="134" customFormat="1">
      <c r="B14" s="128"/>
      <c r="C14" s="112"/>
      <c r="D14" s="262" t="s">
        <v>1118</v>
      </c>
      <c r="E14" s="129"/>
      <c r="F14" s="112"/>
      <c r="G14" s="144"/>
      <c r="H14" s="129"/>
      <c r="I14" s="129"/>
      <c r="J14" s="263" t="s">
        <v>12</v>
      </c>
      <c r="K14" s="264"/>
      <c r="L14" s="265" t="str">
        <f>IF(J14="Outros","Preencha o campo abaixo","-")</f>
        <v>-</v>
      </c>
      <c r="M14" s="112"/>
      <c r="N14" s="135"/>
      <c r="O14" s="112"/>
      <c r="P14" s="112"/>
      <c r="Q14" s="112"/>
      <c r="R14" s="112"/>
      <c r="S14" s="112"/>
      <c r="T14" s="112"/>
      <c r="U14" s="112"/>
      <c r="V14" s="112"/>
      <c r="W14" s="112"/>
      <c r="X14" s="112"/>
    </row>
    <row r="15" spans="1:145" s="134" customFormat="1" ht="15" customHeight="1">
      <c r="B15" s="128"/>
      <c r="C15" s="112"/>
      <c r="D15" s="1731" t="s">
        <v>1189</v>
      </c>
      <c r="E15" s="1732"/>
      <c r="F15" s="1732"/>
      <c r="G15" s="1732"/>
      <c r="H15" s="1732"/>
      <c r="I15" s="1732"/>
      <c r="J15" s="266"/>
      <c r="K15" s="267"/>
      <c r="L15" s="268" t="str">
        <f>IF(J15&lt;&gt;"","Preencha o Pcb","-")</f>
        <v>-</v>
      </c>
      <c r="M15" s="269"/>
      <c r="N15" s="135"/>
      <c r="O15" s="112"/>
      <c r="P15" s="112"/>
      <c r="Q15" s="112"/>
      <c r="R15" s="112"/>
      <c r="S15" s="112"/>
      <c r="T15" s="112"/>
      <c r="U15" s="112"/>
      <c r="V15" s="112"/>
      <c r="W15" s="112"/>
      <c r="X15" s="112"/>
    </row>
    <row r="16" spans="1:145" s="134" customFormat="1" ht="27.6">
      <c r="B16" s="128"/>
      <c r="C16" s="112"/>
      <c r="D16" s="270" t="s">
        <v>1337</v>
      </c>
      <c r="E16" s="271"/>
      <c r="F16" s="271"/>
      <c r="G16" s="271"/>
      <c r="H16" s="271"/>
      <c r="I16" s="271"/>
      <c r="J16" s="72"/>
      <c r="K16" s="272" t="s">
        <v>1233</v>
      </c>
      <c r="L16" s="273" t="str">
        <f>IF(J15="","Se não souber, deixe em branco.","Preencha este campo")</f>
        <v>Se não souber, deixe em branco.</v>
      </c>
      <c r="M16" s="112"/>
      <c r="N16" s="135"/>
      <c r="O16" s="112"/>
      <c r="P16" s="112"/>
      <c r="Q16" s="112"/>
      <c r="R16" s="112"/>
      <c r="S16" s="112"/>
      <c r="T16" s="112"/>
      <c r="U16" s="112"/>
      <c r="V16" s="112"/>
      <c r="W16" s="112"/>
      <c r="X16" s="112"/>
    </row>
    <row r="17" spans="2:26" s="134" customFormat="1" ht="15.6">
      <c r="B17" s="128"/>
      <c r="C17" s="112"/>
      <c r="D17" s="274" t="s">
        <v>1338</v>
      </c>
      <c r="E17" s="129"/>
      <c r="F17" s="144"/>
      <c r="G17" s="144"/>
      <c r="H17" s="129"/>
      <c r="I17" s="129"/>
      <c r="J17" s="275"/>
      <c r="K17" s="267" t="str">
        <f>IF(J14="Selecione","",VLOOKUP('Provisão Biomassa Combustível'!$J$14,'Apoio_Provisão Biomassa Comb.'!$A$15:$B$70,2,FALSE))</f>
        <v/>
      </c>
      <c r="L17" s="276"/>
      <c r="M17" s="112"/>
      <c r="N17" s="135"/>
      <c r="O17" s="112"/>
      <c r="P17" s="112"/>
      <c r="Q17" s="112"/>
      <c r="R17" s="112"/>
      <c r="S17" s="112"/>
      <c r="T17" s="112"/>
      <c r="U17" s="112"/>
      <c r="V17" s="112"/>
      <c r="W17" s="112"/>
      <c r="X17" s="112"/>
    </row>
    <row r="18" spans="2:26" s="134" customFormat="1" ht="15.6">
      <c r="B18" s="128"/>
      <c r="C18" s="112"/>
      <c r="D18" s="146" t="s">
        <v>1339</v>
      </c>
      <c r="E18" s="129"/>
      <c r="F18" s="144"/>
      <c r="G18" s="144"/>
      <c r="H18" s="129"/>
      <c r="I18" s="129"/>
      <c r="J18" s="275"/>
      <c r="K18" s="267" t="str">
        <f>IF(J14="Selecione","",VLOOKUP('Provisão Biomassa Combustível'!$J$14,'Apoio_Provisão Biomassa Comb.'!$A$15:$B$70,2,FALSE))</f>
        <v/>
      </c>
      <c r="L18" s="276"/>
      <c r="M18" s="112"/>
      <c r="N18" s="135"/>
      <c r="O18" s="112"/>
      <c r="P18" s="112"/>
      <c r="Q18" s="112"/>
      <c r="R18" s="112"/>
      <c r="S18" s="112"/>
      <c r="T18" s="112"/>
      <c r="U18" s="112"/>
      <c r="V18" s="112"/>
      <c r="W18" s="112"/>
      <c r="X18" s="112"/>
    </row>
    <row r="19" spans="2:26" s="134" customFormat="1">
      <c r="B19" s="128"/>
      <c r="C19" s="112"/>
      <c r="D19" s="277" t="s">
        <v>1340</v>
      </c>
      <c r="E19" s="139"/>
      <c r="F19" s="139"/>
      <c r="G19" s="139"/>
      <c r="H19" s="139"/>
      <c r="I19" s="140"/>
      <c r="J19" s="278" t="str">
        <f>IF(J17="","",J18+J17)</f>
        <v/>
      </c>
      <c r="K19" s="267" t="str">
        <f>IF(J14="Selecione","",VLOOKUP('Provisão Biomassa Combustível'!$J$14,'Apoio_Provisão Biomassa Comb.'!$A$15:$B$70,2,FALSE))</f>
        <v/>
      </c>
      <c r="L19" s="276"/>
      <c r="M19" s="112"/>
      <c r="N19" s="135"/>
      <c r="O19" s="112"/>
      <c r="P19" s="112"/>
      <c r="Q19" s="112"/>
      <c r="R19" s="112"/>
      <c r="S19" s="112"/>
      <c r="T19" s="112"/>
      <c r="U19" s="112"/>
      <c r="V19" s="112"/>
      <c r="W19" s="112"/>
      <c r="X19" s="112"/>
    </row>
    <row r="20" spans="2:26" s="134" customFormat="1" ht="15.6">
      <c r="B20" s="128"/>
      <c r="C20" s="112"/>
      <c r="D20" s="150" t="s">
        <v>1341</v>
      </c>
      <c r="E20" s="129"/>
      <c r="F20" s="129"/>
      <c r="G20" s="129"/>
      <c r="H20" s="129"/>
      <c r="I20" s="129"/>
      <c r="J20" s="275"/>
      <c r="K20" s="267" t="str">
        <f>IF(J20="","",VLOOKUP(J14,'Apoio_Provisão Biomassa Comb.'!A15:D27,4))</f>
        <v/>
      </c>
      <c r="L20" s="276">
        <v>2016</v>
      </c>
      <c r="M20" s="112"/>
      <c r="N20" s="135"/>
      <c r="O20" s="112"/>
      <c r="P20" s="112"/>
      <c r="Q20" s="112"/>
      <c r="R20" s="112"/>
      <c r="S20" s="112"/>
      <c r="T20" s="112"/>
      <c r="U20" s="112"/>
      <c r="V20" s="112"/>
      <c r="W20" s="112"/>
      <c r="X20" s="112"/>
    </row>
    <row r="21" spans="2:26" s="134" customFormat="1">
      <c r="B21" s="128"/>
      <c r="C21" s="112"/>
      <c r="D21" s="1094" t="s">
        <v>0</v>
      </c>
      <c r="E21" s="83"/>
      <c r="F21" s="83"/>
      <c r="G21" s="83"/>
      <c r="H21" s="83"/>
      <c r="I21" s="83"/>
      <c r="J21" s="279"/>
      <c r="K21" s="280"/>
      <c r="L21" s="281"/>
      <c r="M21" s="112"/>
      <c r="N21" s="135"/>
      <c r="O21" s="112"/>
      <c r="P21" s="112"/>
      <c r="Q21" s="112"/>
      <c r="R21" s="112"/>
      <c r="S21" s="112"/>
      <c r="T21" s="112"/>
      <c r="U21" s="112"/>
      <c r="V21" s="112"/>
      <c r="W21" s="112"/>
      <c r="X21" s="112"/>
    </row>
    <row r="22" spans="2:26" s="134" customFormat="1">
      <c r="B22" s="128"/>
      <c r="C22" s="112"/>
      <c r="D22" s="138" t="s">
        <v>1342</v>
      </c>
      <c r="E22" s="139"/>
      <c r="F22" s="139"/>
      <c r="G22" s="139"/>
      <c r="H22" s="139"/>
      <c r="I22" s="140"/>
      <c r="J22" s="275" t="str">
        <f>J19</f>
        <v/>
      </c>
      <c r="K22" s="267" t="str">
        <f>IF(J14="Selecione","",VLOOKUP('Provisão Biomassa Combustível'!$J$14,'Apoio_Provisão Biomassa Comb.'!$A$15:$B$70,2,FALSE))</f>
        <v/>
      </c>
      <c r="L22" s="276"/>
      <c r="M22" s="112"/>
      <c r="N22" s="135"/>
      <c r="O22" s="112"/>
      <c r="P22" s="112"/>
      <c r="Q22" s="112"/>
      <c r="R22" s="112"/>
      <c r="S22" s="112"/>
      <c r="T22" s="112"/>
      <c r="U22" s="112"/>
      <c r="V22" s="112"/>
      <c r="W22" s="112"/>
      <c r="X22" s="112"/>
    </row>
    <row r="23" spans="2:26" s="134" customFormat="1">
      <c r="B23" s="128"/>
      <c r="D23" s="1094" t="s">
        <v>1</v>
      </c>
      <c r="E23" s="83"/>
      <c r="F23" s="83"/>
      <c r="G23" s="83"/>
      <c r="H23" s="83"/>
      <c r="I23" s="83"/>
      <c r="J23" s="279"/>
      <c r="K23" s="280"/>
      <c r="L23" s="281"/>
      <c r="M23" s="112"/>
      <c r="N23" s="135"/>
      <c r="O23" s="112"/>
      <c r="P23" s="112"/>
      <c r="Q23" s="112"/>
      <c r="R23" s="112"/>
      <c r="S23" s="112"/>
      <c r="T23" s="112"/>
      <c r="U23" s="112"/>
      <c r="V23" s="112"/>
      <c r="W23" s="112"/>
      <c r="X23" s="112"/>
    </row>
    <row r="24" spans="2:26" s="134" customFormat="1" ht="34.5" customHeight="1">
      <c r="B24" s="128"/>
      <c r="C24" s="112"/>
      <c r="D24" s="1727" t="s">
        <v>1120</v>
      </c>
      <c r="E24" s="1728"/>
      <c r="F24" s="1728"/>
      <c r="G24" s="1728"/>
      <c r="H24" s="1728"/>
      <c r="I24" s="1728"/>
      <c r="J24" s="282" t="s">
        <v>12</v>
      </c>
      <c r="K24" s="267"/>
      <c r="L24" s="283" t="str">
        <f>IF(J24="Outros","Preencha o campo abaixo","-")</f>
        <v>-</v>
      </c>
      <c r="M24" s="112"/>
      <c r="N24" s="135"/>
      <c r="O24" s="112"/>
      <c r="P24" s="112"/>
      <c r="Q24" s="112"/>
      <c r="R24" s="112"/>
      <c r="S24" s="112"/>
      <c r="T24" s="112"/>
      <c r="U24" s="112"/>
      <c r="V24" s="112"/>
      <c r="W24" s="112"/>
      <c r="X24" s="112"/>
    </row>
    <row r="25" spans="2:26" s="134" customFormat="1" ht="16.5" customHeight="1">
      <c r="B25" s="128"/>
      <c r="C25" s="112"/>
      <c r="D25" s="1731" t="s">
        <v>1268</v>
      </c>
      <c r="E25" s="1732"/>
      <c r="F25" s="1732"/>
      <c r="G25" s="1732"/>
      <c r="H25" s="1732"/>
      <c r="I25" s="1732"/>
      <c r="J25" s="266"/>
      <c r="K25" s="267"/>
      <c r="L25" s="268" t="str">
        <f>IF(J25&lt;&gt;"","Preencha o Pcalt","-")</f>
        <v>-</v>
      </c>
      <c r="M25" s="269"/>
      <c r="N25" s="135"/>
      <c r="O25" s="112"/>
      <c r="P25" s="112"/>
      <c r="Q25" s="112"/>
      <c r="R25" s="112"/>
      <c r="S25" s="112"/>
      <c r="T25" s="112"/>
      <c r="U25" s="112"/>
      <c r="V25" s="112"/>
      <c r="W25" s="112"/>
      <c r="X25" s="112"/>
    </row>
    <row r="26" spans="2:26" s="134" customFormat="1" ht="27.6">
      <c r="B26" s="128"/>
      <c r="C26" s="112"/>
      <c r="D26" s="270" t="s">
        <v>1343</v>
      </c>
      <c r="E26" s="271"/>
      <c r="F26" s="271"/>
      <c r="G26" s="271"/>
      <c r="H26" s="271"/>
      <c r="I26" s="271"/>
      <c r="J26" s="275"/>
      <c r="K26" s="272" t="s">
        <v>504</v>
      </c>
      <c r="L26" s="273" t="str">
        <f>IF(J25="","Se não souber, deixe em branco.","Preencha este campo")</f>
        <v>Se não souber, deixe em branco.</v>
      </c>
      <c r="M26" s="112"/>
      <c r="N26" s="135"/>
      <c r="O26" s="112"/>
      <c r="P26" s="112"/>
      <c r="Q26" s="112"/>
      <c r="R26" s="112"/>
      <c r="S26" s="112"/>
      <c r="T26" s="112"/>
      <c r="U26" s="112"/>
      <c r="V26" s="112"/>
      <c r="W26" s="112"/>
      <c r="X26" s="112"/>
    </row>
    <row r="27" spans="2:26" s="134" customFormat="1" ht="28.2">
      <c r="B27" s="128"/>
      <c r="C27" s="112"/>
      <c r="D27" s="154" t="s">
        <v>1344</v>
      </c>
      <c r="E27" s="155"/>
      <c r="F27" s="155"/>
      <c r="G27" s="155"/>
      <c r="H27" s="155"/>
      <c r="I27" s="155"/>
      <c r="J27" s="275"/>
      <c r="K27" s="479"/>
      <c r="L27" s="273" t="str">
        <f>IF(J25="","Se não souber, deixe em branco.","Preencha este campo.")</f>
        <v>Se não souber, deixe em branco.</v>
      </c>
      <c r="M27" s="112"/>
      <c r="N27" s="135"/>
      <c r="O27" s="112"/>
      <c r="P27" s="112"/>
      <c r="Q27" s="112"/>
      <c r="R27" s="112"/>
      <c r="S27" s="112"/>
      <c r="T27" s="112"/>
      <c r="U27" s="112"/>
      <c r="V27" s="112"/>
      <c r="W27" s="112"/>
      <c r="X27" s="112"/>
    </row>
    <row r="28" spans="2:26" s="134" customFormat="1" ht="18" customHeight="1">
      <c r="B28" s="128"/>
      <c r="C28" s="112"/>
      <c r="D28" s="270"/>
      <c r="E28" s="271"/>
      <c r="F28" s="271"/>
      <c r="G28" s="271"/>
      <c r="H28" s="271"/>
      <c r="I28" s="285" t="s">
        <v>1190</v>
      </c>
      <c r="J28" s="159" t="str">
        <f>IFERROR(IF(J27="",IF(J25="",(J18*FatorEqPC/(VLOOKUP(J24,'Apoio_Provisão Biomassa Comb.'!$A$14:$G$70,7,0))),""),""),"")</f>
        <v/>
      </c>
      <c r="K28" s="267" t="str">
        <f>IF(J28="","",VLOOKUP($J$24,'Apoio_Provisão Biomassa Comb.'!$A$14:$B$70,2,FALSE))</f>
        <v/>
      </c>
      <c r="L28" s="286"/>
      <c r="M28" s="112"/>
      <c r="N28" s="135"/>
      <c r="O28" s="112"/>
      <c r="P28" s="112"/>
      <c r="Q28" s="112"/>
      <c r="R28" s="112"/>
      <c r="S28" s="112"/>
      <c r="T28" s="112"/>
      <c r="U28" s="112"/>
      <c r="V28" s="112"/>
      <c r="W28" s="112"/>
      <c r="X28" s="112"/>
    </row>
    <row r="29" spans="2:26" s="134" customFormat="1" ht="15.6">
      <c r="B29" s="128"/>
      <c r="C29" s="112"/>
      <c r="D29" s="150" t="s">
        <v>1331</v>
      </c>
      <c r="E29" s="129"/>
      <c r="F29" s="129"/>
      <c r="G29" s="129"/>
      <c r="H29" s="129"/>
      <c r="I29" s="129"/>
      <c r="J29" s="141"/>
      <c r="K29" s="1580" t="str">
        <f>IF(J29="","",VLOOKUP(J24,'Apoio_Provisão Biomassa Comb.'!A15:D70,4,FALSE))</f>
        <v/>
      </c>
      <c r="L29" s="286"/>
      <c r="M29" s="112"/>
      <c r="N29" s="135"/>
      <c r="O29" s="112"/>
      <c r="P29" s="112"/>
      <c r="Q29" s="112"/>
      <c r="R29" s="112"/>
      <c r="S29" s="112"/>
      <c r="T29" s="112"/>
      <c r="U29" s="112"/>
      <c r="V29" s="112"/>
      <c r="W29" s="112"/>
      <c r="X29" s="112"/>
    </row>
    <row r="30" spans="2:26" s="134" customFormat="1">
      <c r="B30" s="128"/>
      <c r="C30" s="112"/>
      <c r="D30" s="1094" t="s">
        <v>2</v>
      </c>
      <c r="E30" s="83"/>
      <c r="F30" s="83"/>
      <c r="G30" s="83"/>
      <c r="H30" s="83"/>
      <c r="I30" s="83"/>
      <c r="J30" s="279"/>
      <c r="K30" s="287"/>
      <c r="L30" s="162"/>
      <c r="M30" s="112"/>
      <c r="N30" s="135"/>
      <c r="O30" s="112"/>
      <c r="P30" s="112"/>
      <c r="Q30" s="112"/>
      <c r="R30" s="112"/>
      <c r="S30" s="112"/>
      <c r="T30" s="112"/>
      <c r="U30" s="112"/>
      <c r="V30" s="112"/>
      <c r="W30" s="112"/>
      <c r="X30" s="112"/>
    </row>
    <row r="31" spans="2:26" s="134" customFormat="1" ht="15.6">
      <c r="B31" s="128"/>
      <c r="C31" s="112"/>
      <c r="D31" s="150" t="s">
        <v>1345</v>
      </c>
      <c r="E31" s="129"/>
      <c r="F31" s="129"/>
      <c r="G31" s="129"/>
      <c r="H31" s="129"/>
      <c r="I31" s="129"/>
      <c r="J31" s="288"/>
      <c r="K31" s="284"/>
      <c r="L31" s="286"/>
      <c r="M31" s="112"/>
      <c r="N31" s="135"/>
      <c r="O31" s="112"/>
      <c r="P31" s="112"/>
      <c r="Q31" s="112"/>
      <c r="R31" s="112"/>
      <c r="S31" s="112"/>
      <c r="T31" s="112"/>
      <c r="U31" s="112"/>
      <c r="V31" s="112"/>
      <c r="W31" s="112"/>
      <c r="X31" s="112"/>
      <c r="Z31" s="112"/>
    </row>
    <row r="32" spans="2:26" s="134" customFormat="1">
      <c r="B32" s="128"/>
      <c r="C32" s="112"/>
      <c r="D32" s="269" t="s">
        <v>1346</v>
      </c>
      <c r="E32" s="129"/>
      <c r="F32" s="129"/>
      <c r="G32" s="144"/>
      <c r="H32" s="112"/>
      <c r="I32" s="129"/>
      <c r="J32" s="288"/>
      <c r="K32" s="284"/>
      <c r="L32" s="286"/>
      <c r="M32" s="112"/>
      <c r="N32" s="135"/>
      <c r="O32" s="112"/>
      <c r="P32" s="112"/>
      <c r="Q32" s="112"/>
      <c r="R32" s="112"/>
      <c r="S32" s="112"/>
      <c r="T32" s="112"/>
      <c r="U32" s="112"/>
      <c r="Z32" s="112"/>
    </row>
    <row r="33" spans="1:26" s="134" customFormat="1" ht="30.75" customHeight="1">
      <c r="B33" s="128"/>
      <c r="C33" s="112"/>
      <c r="D33" s="1725" t="s">
        <v>1347</v>
      </c>
      <c r="E33" s="1726"/>
      <c r="F33" s="1726"/>
      <c r="G33" s="1726"/>
      <c r="H33" s="1726"/>
      <c r="I33" s="1726"/>
      <c r="J33" s="289"/>
      <c r="K33" s="164"/>
      <c r="L33" s="286"/>
      <c r="M33" s="290"/>
      <c r="N33" s="135"/>
      <c r="O33" s="112"/>
      <c r="P33" s="112"/>
      <c r="Q33" s="112"/>
      <c r="R33" s="112"/>
      <c r="S33" s="112"/>
      <c r="T33" s="112"/>
      <c r="U33" s="112"/>
      <c r="Z33" s="112"/>
    </row>
    <row r="34" spans="1:26" s="134" customFormat="1" ht="30.75" customHeight="1">
      <c r="B34" s="128"/>
      <c r="C34" s="112"/>
      <c r="D34" s="1729" t="s">
        <v>1348</v>
      </c>
      <c r="E34" s="1730"/>
      <c r="F34" s="1730"/>
      <c r="G34" s="1730"/>
      <c r="H34" s="1730"/>
      <c r="I34" s="1730"/>
      <c r="J34" s="291"/>
      <c r="K34" s="1544"/>
      <c r="L34" s="292"/>
      <c r="M34" s="112"/>
      <c r="N34" s="135"/>
      <c r="O34" s="112"/>
      <c r="P34" s="112"/>
      <c r="Q34" s="112"/>
      <c r="R34" s="112"/>
      <c r="S34" s="112"/>
      <c r="T34" s="112"/>
      <c r="U34" s="112"/>
      <c r="Z34" s="112"/>
    </row>
    <row r="35" spans="1:26" s="134" customFormat="1" ht="16.2" thickBot="1">
      <c r="A35" s="112"/>
      <c r="B35" s="128"/>
      <c r="C35" s="112"/>
      <c r="D35" s="293" t="s">
        <v>1349</v>
      </c>
      <c r="E35" s="294"/>
      <c r="F35" s="294"/>
      <c r="G35" s="294"/>
      <c r="H35" s="294"/>
      <c r="I35" s="294"/>
      <c r="J35" s="295"/>
      <c r="K35" s="296" t="s">
        <v>1350</v>
      </c>
      <c r="L35" s="297" t="s">
        <v>1133</v>
      </c>
      <c r="M35" s="112"/>
      <c r="N35" s="135"/>
      <c r="O35" s="112"/>
      <c r="P35" s="112"/>
      <c r="Q35" s="112"/>
      <c r="R35" s="112"/>
      <c r="S35" s="112"/>
      <c r="T35" s="112"/>
      <c r="U35" s="112"/>
      <c r="Z35" s="112"/>
    </row>
    <row r="36" spans="1:26" s="134" customFormat="1">
      <c r="A36" s="112"/>
      <c r="B36" s="128"/>
      <c r="C36" s="112"/>
      <c r="D36" s="112"/>
      <c r="E36" s="112"/>
      <c r="F36" s="112"/>
      <c r="G36" s="112"/>
      <c r="H36" s="112"/>
      <c r="I36" s="112"/>
      <c r="J36" s="112"/>
      <c r="K36" s="112"/>
      <c r="L36" s="112"/>
      <c r="M36" s="112"/>
      <c r="N36" s="135"/>
      <c r="O36" s="112"/>
      <c r="P36" s="112"/>
      <c r="Q36" s="112"/>
      <c r="R36" s="112"/>
      <c r="S36" s="112"/>
      <c r="T36" s="112"/>
      <c r="U36" s="112"/>
    </row>
    <row r="37" spans="1:26" s="134" customFormat="1" ht="15.6">
      <c r="A37" s="135"/>
      <c r="B37" s="1736" t="s">
        <v>490</v>
      </c>
      <c r="C37" s="1737"/>
      <c r="D37" s="1737"/>
      <c r="E37" s="1737"/>
      <c r="F37" s="1737"/>
      <c r="G37" s="1737"/>
      <c r="H37" s="1737"/>
      <c r="I37" s="1737"/>
      <c r="J37" s="1737"/>
      <c r="K37" s="1737"/>
      <c r="L37" s="1737"/>
      <c r="M37" s="1737"/>
      <c r="N37" s="1738"/>
      <c r="O37" s="122"/>
      <c r="P37" s="122"/>
      <c r="Q37" s="122"/>
      <c r="R37" s="122"/>
      <c r="S37" s="122"/>
      <c r="T37" s="122"/>
      <c r="U37" s="112"/>
    </row>
    <row r="38" spans="1:26" s="134" customFormat="1" ht="16.2" thickBot="1">
      <c r="A38" s="112"/>
      <c r="B38" s="298"/>
      <c r="C38" s="299"/>
      <c r="D38" s="299"/>
      <c r="E38" s="299"/>
      <c r="F38" s="299"/>
      <c r="G38" s="299"/>
      <c r="H38" s="299"/>
      <c r="I38" s="299"/>
      <c r="J38" s="299"/>
      <c r="K38" s="299"/>
      <c r="L38" s="299"/>
      <c r="M38" s="299"/>
      <c r="N38" s="300"/>
      <c r="O38" s="122"/>
      <c r="P38" s="122"/>
      <c r="Q38" s="122"/>
      <c r="R38" s="122"/>
      <c r="S38" s="122"/>
      <c r="T38" s="122"/>
      <c r="U38" s="112"/>
    </row>
    <row r="39" spans="1:26" s="134" customFormat="1" ht="16.2" thickBot="1">
      <c r="A39" s="112"/>
      <c r="B39" s="169"/>
      <c r="C39" s="1670" t="s">
        <v>0</v>
      </c>
      <c r="D39" s="1670"/>
      <c r="E39" s="1670"/>
      <c r="F39" s="172"/>
      <c r="G39" s="173" t="s">
        <v>1</v>
      </c>
      <c r="H39" s="122"/>
      <c r="I39" s="174"/>
      <c r="J39" s="112"/>
      <c r="K39" s="173" t="s">
        <v>2</v>
      </c>
      <c r="L39" s="172"/>
      <c r="M39" s="175"/>
      <c r="N39" s="171"/>
      <c r="O39" s="122"/>
      <c r="P39" s="122"/>
      <c r="Q39" s="122"/>
      <c r="R39" s="122"/>
      <c r="S39" s="122"/>
      <c r="T39" s="122"/>
      <c r="U39" s="112"/>
    </row>
    <row r="40" spans="1:26" s="134" customFormat="1" ht="18">
      <c r="A40" s="112"/>
      <c r="B40" s="176"/>
      <c r="C40" s="1095" t="s">
        <v>1063</v>
      </c>
      <c r="D40" s="1248" t="str">
        <f>IFERROR(J19/J22,"")</f>
        <v/>
      </c>
      <c r="E40" s="1223"/>
      <c r="F40" s="122"/>
      <c r="G40" s="1241" t="s">
        <v>1064</v>
      </c>
      <c r="H40" s="1251" t="str">
        <f>IF(J27="",J28,J27)</f>
        <v/>
      </c>
      <c r="I40" s="1252" t="str">
        <f>IF(K27="",K28,K27)</f>
        <v/>
      </c>
      <c r="J40" s="122"/>
      <c r="K40" s="177" t="s">
        <v>1351</v>
      </c>
      <c r="L40" s="301" t="str">
        <f>IF(J31="","",J31*J32*-1)</f>
        <v/>
      </c>
      <c r="M40" s="302"/>
      <c r="N40" s="171"/>
      <c r="O40" s="122"/>
      <c r="P40" s="122"/>
      <c r="Q40" s="122"/>
      <c r="R40" s="122"/>
      <c r="S40" s="122"/>
      <c r="T40" s="122"/>
      <c r="U40" s="112"/>
    </row>
    <row r="41" spans="1:26" s="134" customFormat="1" ht="18.600000000000001" thickBot="1">
      <c r="A41" s="112"/>
      <c r="B41" s="176"/>
      <c r="C41" s="1097" t="s">
        <v>493</v>
      </c>
      <c r="D41" s="1206" t="str">
        <f>IF(J22="","",(J19*J20))</f>
        <v/>
      </c>
      <c r="E41" s="1224" t="s">
        <v>13</v>
      </c>
      <c r="F41" s="112"/>
      <c r="G41" s="1237" t="s">
        <v>493</v>
      </c>
      <c r="H41" s="1245" t="str">
        <f>IFERROR(((IF(J27="",J28,J27))*J29)-(J18*J20),"")</f>
        <v/>
      </c>
      <c r="I41" s="1246" t="s">
        <v>13</v>
      </c>
      <c r="J41" s="112"/>
      <c r="K41" s="178" t="s">
        <v>1352</v>
      </c>
      <c r="L41" s="303" t="str">
        <f>IF(J34="","",J34*'Apoio_Provisão Biomassa Comb.'!E72*-1)</f>
        <v/>
      </c>
      <c r="M41" s="304" t="s">
        <v>1353</v>
      </c>
      <c r="N41" s="171"/>
      <c r="O41" s="122"/>
      <c r="P41" s="122"/>
      <c r="Q41" s="122"/>
      <c r="R41" s="122"/>
      <c r="S41" s="122"/>
      <c r="T41" s="122"/>
      <c r="U41" s="112"/>
    </row>
    <row r="42" spans="1:26" s="134" customFormat="1" ht="15.75" customHeight="1">
      <c r="A42" s="135"/>
      <c r="B42" s="305"/>
      <c r="C42" s="306"/>
      <c r="D42" s="122"/>
      <c r="E42" s="122"/>
      <c r="F42" s="122"/>
      <c r="G42" s="307"/>
      <c r="H42" s="122"/>
      <c r="I42" s="306"/>
      <c r="J42" s="122"/>
      <c r="K42" s="1537" t="s">
        <v>1701</v>
      </c>
      <c r="L42" s="303" t="str">
        <f>IF(L40="","",(L40*J33))</f>
        <v/>
      </c>
      <c r="M42" s="1226" t="s">
        <v>13</v>
      </c>
      <c r="N42" s="171"/>
      <c r="O42" s="122"/>
      <c r="P42" s="122"/>
      <c r="Q42" s="122"/>
      <c r="R42" s="122"/>
      <c r="S42" s="122"/>
      <c r="T42" s="122"/>
      <c r="U42" s="112"/>
    </row>
    <row r="43" spans="1:26" s="134" customFormat="1" ht="15.75" customHeight="1" thickBot="1">
      <c r="A43" s="135"/>
      <c r="B43" s="1556"/>
      <c r="C43" s="122"/>
      <c r="D43" s="122"/>
      <c r="E43" s="122"/>
      <c r="F43" s="122"/>
      <c r="G43" s="122"/>
      <c r="H43" s="122"/>
      <c r="I43" s="122"/>
      <c r="J43" s="122"/>
      <c r="K43" s="97" t="s">
        <v>1702</v>
      </c>
      <c r="L43" s="98" t="str">
        <f>IF(L41="","",(L41*J35))</f>
        <v/>
      </c>
      <c r="M43" s="308" t="s">
        <v>13</v>
      </c>
      <c r="N43" s="1557"/>
      <c r="O43" s="122"/>
      <c r="P43" s="122"/>
      <c r="Q43" s="122"/>
      <c r="R43" s="122"/>
      <c r="S43" s="122"/>
      <c r="T43" s="122"/>
      <c r="U43" s="112"/>
    </row>
    <row r="44" spans="1:26" s="134" customFormat="1" ht="15.6">
      <c r="A44" s="135"/>
      <c r="B44" s="113"/>
      <c r="C44" s="122"/>
      <c r="D44" s="122"/>
      <c r="E44" s="122"/>
      <c r="F44" s="122"/>
      <c r="G44" s="122"/>
      <c r="H44" s="122"/>
      <c r="I44" s="122"/>
      <c r="J44" s="122"/>
      <c r="K44" s="93"/>
      <c r="L44" s="104"/>
      <c r="M44" s="309"/>
      <c r="N44" s="171"/>
      <c r="O44" s="122"/>
      <c r="P44" s="122"/>
      <c r="Q44" s="122"/>
      <c r="R44" s="122"/>
      <c r="S44" s="122"/>
      <c r="T44" s="122"/>
      <c r="U44" s="112"/>
    </row>
    <row r="45" spans="1:26" s="134" customFormat="1" ht="15.6">
      <c r="A45" s="135"/>
      <c r="B45" s="298"/>
      <c r="C45" s="310"/>
      <c r="D45" s="310"/>
      <c r="E45" s="311"/>
      <c r="F45" s="310"/>
      <c r="G45" s="310"/>
      <c r="H45" s="310"/>
      <c r="I45" s="310"/>
      <c r="J45" s="310"/>
      <c r="K45" s="108"/>
      <c r="L45" s="312"/>
      <c r="M45" s="313"/>
      <c r="N45" s="300"/>
      <c r="O45" s="122"/>
      <c r="P45" s="122"/>
      <c r="Q45" s="122"/>
      <c r="R45" s="122"/>
      <c r="S45" s="122"/>
      <c r="T45" s="122"/>
      <c r="U45" s="112"/>
    </row>
    <row r="46" spans="1:26" s="134" customFormat="1" ht="15.6">
      <c r="A46" s="135"/>
      <c r="B46" s="1741" t="s">
        <v>1298</v>
      </c>
      <c r="C46" s="1742"/>
      <c r="D46" s="1742"/>
      <c r="E46" s="1742"/>
      <c r="F46" s="1742"/>
      <c r="G46" s="1742"/>
      <c r="H46" s="1742"/>
      <c r="I46" s="1742"/>
      <c r="J46" s="1742"/>
      <c r="K46" s="1742"/>
      <c r="L46" s="1742"/>
      <c r="M46" s="1742"/>
      <c r="N46" s="1743"/>
      <c r="O46" s="122"/>
      <c r="P46" s="122"/>
      <c r="Q46" s="122"/>
      <c r="R46" s="122"/>
      <c r="S46" s="122"/>
      <c r="T46" s="122"/>
      <c r="U46" s="112"/>
    </row>
    <row r="47" spans="1:26" s="134" customFormat="1" ht="15.6">
      <c r="A47" s="135"/>
      <c r="B47" s="298"/>
      <c r="C47" s="310"/>
      <c r="D47" s="310"/>
      <c r="E47" s="310"/>
      <c r="F47" s="310"/>
      <c r="G47" s="310"/>
      <c r="H47" s="310"/>
      <c r="I47" s="310"/>
      <c r="J47" s="310"/>
      <c r="K47" s="108"/>
      <c r="L47" s="312"/>
      <c r="M47" s="313"/>
      <c r="N47" s="300"/>
      <c r="O47" s="122"/>
      <c r="P47" s="122"/>
      <c r="Q47" s="122"/>
      <c r="R47" s="122"/>
      <c r="S47" s="122"/>
      <c r="T47" s="122"/>
      <c r="U47" s="112"/>
    </row>
    <row r="48" spans="1:26" s="134" customFormat="1" ht="16.2" thickBot="1">
      <c r="A48" s="135"/>
      <c r="B48" s="169"/>
      <c r="D48" s="7" t="s">
        <v>1684</v>
      </c>
      <c r="E48" s="20"/>
      <c r="F48" s="20"/>
      <c r="G48" s="20"/>
      <c r="L48" s="170"/>
      <c r="M48" s="170"/>
      <c r="N48" s="171"/>
      <c r="O48" s="122"/>
      <c r="P48" s="122"/>
      <c r="Q48" s="122"/>
      <c r="R48" s="122"/>
      <c r="S48" s="122"/>
      <c r="T48" s="122"/>
      <c r="U48" s="112"/>
    </row>
    <row r="49" spans="1:21" s="134" customFormat="1" ht="15.6">
      <c r="A49" s="112"/>
      <c r="B49" s="169"/>
      <c r="D49" s="1655" t="s">
        <v>1119</v>
      </c>
      <c r="E49" s="1656"/>
      <c r="F49" s="1734" t="s">
        <v>0</v>
      </c>
      <c r="G49" s="1734"/>
      <c r="H49" s="1733" t="s">
        <v>1</v>
      </c>
      <c r="I49" s="1733"/>
      <c r="J49" s="1739" t="s">
        <v>2</v>
      </c>
      <c r="K49" s="1739"/>
      <c r="L49" s="1740"/>
      <c r="M49" s="170"/>
      <c r="N49" s="171"/>
      <c r="O49" s="122"/>
      <c r="P49" s="122"/>
      <c r="Q49" s="122"/>
      <c r="R49" s="122"/>
      <c r="S49" s="122"/>
      <c r="T49" s="122"/>
      <c r="U49" s="112"/>
    </row>
    <row r="50" spans="1:21" s="134" customFormat="1" ht="18">
      <c r="A50" s="112"/>
      <c r="B50" s="169"/>
      <c r="D50" s="1657"/>
      <c r="E50" s="1735"/>
      <c r="F50" s="1225" t="s">
        <v>1158</v>
      </c>
      <c r="G50" s="1225" t="s">
        <v>1157</v>
      </c>
      <c r="H50" s="1247" t="s">
        <v>1176</v>
      </c>
      <c r="I50" s="1247" t="s">
        <v>1157</v>
      </c>
      <c r="J50" s="184" t="s">
        <v>1351</v>
      </c>
      <c r="K50" s="184" t="s">
        <v>1354</v>
      </c>
      <c r="L50" s="185" t="s">
        <v>1157</v>
      </c>
      <c r="M50" s="170"/>
      <c r="N50" s="171"/>
      <c r="O50" s="122"/>
      <c r="P50" s="122"/>
      <c r="Q50" s="122"/>
      <c r="R50" s="122"/>
      <c r="S50" s="122"/>
      <c r="T50" s="122"/>
      <c r="U50" s="112"/>
    </row>
    <row r="51" spans="1:21" s="134" customFormat="1" ht="15.6">
      <c r="A51" s="112"/>
      <c r="B51" s="169"/>
      <c r="D51" s="1718"/>
      <c r="E51" s="1719"/>
      <c r="F51" s="314"/>
      <c r="G51" s="187"/>
      <c r="H51" s="315"/>
      <c r="I51" s="187"/>
      <c r="J51" s="316"/>
      <c r="K51" s="190"/>
      <c r="L51" s="317"/>
      <c r="M51" s="318"/>
      <c r="N51" s="171"/>
      <c r="O51" s="122"/>
      <c r="P51" s="122"/>
      <c r="Q51" s="122"/>
      <c r="R51" s="122"/>
      <c r="S51" s="122"/>
      <c r="T51" s="122"/>
      <c r="U51" s="112"/>
    </row>
    <row r="52" spans="1:21" s="134" customFormat="1" ht="15.6">
      <c r="A52" s="112"/>
      <c r="B52" s="169"/>
      <c r="D52" s="1714"/>
      <c r="E52" s="1715"/>
      <c r="F52" s="319"/>
      <c r="G52" s="192"/>
      <c r="H52" s="191"/>
      <c r="I52" s="191"/>
      <c r="J52" s="320"/>
      <c r="K52" s="191"/>
      <c r="L52" s="321"/>
      <c r="M52" s="170"/>
      <c r="N52" s="171"/>
      <c r="O52" s="122"/>
      <c r="P52" s="122"/>
      <c r="Q52" s="122"/>
      <c r="R52" s="122"/>
      <c r="S52" s="122"/>
      <c r="T52" s="122"/>
      <c r="U52" s="112"/>
    </row>
    <row r="53" spans="1:21" s="134" customFormat="1" ht="15.75" customHeight="1">
      <c r="A53" s="112"/>
      <c r="B53" s="169"/>
      <c r="D53" s="1714"/>
      <c r="E53" s="1715"/>
      <c r="F53" s="319"/>
      <c r="G53" s="192"/>
      <c r="H53" s="191"/>
      <c r="I53" s="191"/>
      <c r="J53" s="320"/>
      <c r="K53" s="191"/>
      <c r="L53" s="321"/>
      <c r="M53" s="170"/>
      <c r="N53" s="171"/>
      <c r="O53" s="122"/>
      <c r="P53" s="122"/>
      <c r="Q53" s="122"/>
      <c r="R53" s="122"/>
      <c r="S53" s="122"/>
      <c r="T53" s="122"/>
      <c r="U53" s="112"/>
    </row>
    <row r="54" spans="1:21" s="134" customFormat="1" ht="15.75" customHeight="1">
      <c r="A54" s="112"/>
      <c r="B54" s="169"/>
      <c r="D54" s="1714"/>
      <c r="E54" s="1715"/>
      <c r="F54" s="319"/>
      <c r="G54" s="192"/>
      <c r="H54" s="191"/>
      <c r="I54" s="191"/>
      <c r="J54" s="320"/>
      <c r="K54" s="191"/>
      <c r="L54" s="321"/>
      <c r="M54" s="170"/>
      <c r="N54" s="171"/>
      <c r="O54" s="122"/>
      <c r="P54" s="122"/>
      <c r="Q54" s="122"/>
      <c r="R54" s="122"/>
      <c r="S54" s="122"/>
      <c r="T54" s="122"/>
      <c r="U54" s="112"/>
    </row>
    <row r="55" spans="1:21" s="134" customFormat="1" ht="15.75" customHeight="1">
      <c r="A55" s="112"/>
      <c r="B55" s="169"/>
      <c r="D55" s="1714"/>
      <c r="E55" s="1715"/>
      <c r="F55" s="319"/>
      <c r="G55" s="192"/>
      <c r="H55" s="191"/>
      <c r="I55" s="191"/>
      <c r="J55" s="320"/>
      <c r="K55" s="191"/>
      <c r="L55" s="321"/>
      <c r="M55" s="170"/>
      <c r="N55" s="171"/>
      <c r="O55" s="122"/>
      <c r="P55" s="122"/>
      <c r="Q55" s="122"/>
      <c r="R55" s="122"/>
      <c r="S55" s="122"/>
      <c r="T55" s="122"/>
      <c r="U55" s="112"/>
    </row>
    <row r="56" spans="1:21" s="134" customFormat="1" ht="15.75" customHeight="1">
      <c r="A56" s="112"/>
      <c r="B56" s="169"/>
      <c r="D56" s="1714"/>
      <c r="E56" s="1715"/>
      <c r="F56" s="319"/>
      <c r="G56" s="192"/>
      <c r="H56" s="191"/>
      <c r="I56" s="191"/>
      <c r="J56" s="320"/>
      <c r="K56" s="191"/>
      <c r="L56" s="321"/>
      <c r="M56" s="170"/>
      <c r="N56" s="171"/>
      <c r="O56" s="122"/>
      <c r="P56" s="122"/>
      <c r="Q56" s="122"/>
      <c r="R56" s="122"/>
      <c r="S56" s="122"/>
      <c r="T56" s="122"/>
      <c r="U56" s="112"/>
    </row>
    <row r="57" spans="1:21" s="134" customFormat="1" ht="15.75" customHeight="1" thickBot="1">
      <c r="B57" s="193"/>
      <c r="D57" s="1714"/>
      <c r="E57" s="1715"/>
      <c r="F57" s="319"/>
      <c r="G57" s="192"/>
      <c r="H57" s="191"/>
      <c r="I57" s="191"/>
      <c r="J57" s="320"/>
      <c r="K57" s="191"/>
      <c r="L57" s="321"/>
      <c r="M57" s="122"/>
      <c r="N57" s="194"/>
      <c r="O57" s="122"/>
      <c r="P57" s="122"/>
      <c r="Q57" s="122"/>
      <c r="R57" s="122"/>
      <c r="S57" s="122"/>
      <c r="T57" s="122"/>
      <c r="U57" s="112"/>
    </row>
    <row r="58" spans="1:21" s="134" customFormat="1" ht="15" customHeight="1">
      <c r="B58" s="193"/>
      <c r="D58" s="1714"/>
      <c r="E58" s="1715"/>
      <c r="F58" s="319"/>
      <c r="G58" s="192"/>
      <c r="H58" s="191"/>
      <c r="I58" s="191"/>
      <c r="J58" s="320"/>
      <c r="K58" s="191"/>
      <c r="L58" s="321"/>
      <c r="N58" s="194"/>
      <c r="O58" s="172"/>
      <c r="Q58" s="172"/>
      <c r="R58" s="172"/>
      <c r="S58" s="175"/>
      <c r="T58" s="122"/>
      <c r="U58" s="112"/>
    </row>
    <row r="59" spans="1:21" s="134" customFormat="1" ht="15" customHeight="1">
      <c r="B59" s="193"/>
      <c r="D59" s="1714"/>
      <c r="E59" s="1715"/>
      <c r="F59" s="319"/>
      <c r="G59" s="192"/>
      <c r="H59" s="191"/>
      <c r="I59" s="191"/>
      <c r="J59" s="320"/>
      <c r="K59" s="191"/>
      <c r="L59" s="321"/>
      <c r="N59" s="194"/>
      <c r="O59" s="122"/>
      <c r="P59" s="122"/>
      <c r="Q59" s="122"/>
      <c r="R59" s="122"/>
      <c r="S59" s="307"/>
      <c r="T59" s="122"/>
      <c r="U59" s="112"/>
    </row>
    <row r="60" spans="1:21" s="134" customFormat="1" ht="15.75" customHeight="1" thickBot="1">
      <c r="B60" s="193"/>
      <c r="D60" s="1716"/>
      <c r="E60" s="1717"/>
      <c r="F60" s="322"/>
      <c r="G60" s="195"/>
      <c r="H60" s="196"/>
      <c r="I60" s="196"/>
      <c r="J60" s="323"/>
      <c r="K60" s="196"/>
      <c r="L60" s="324"/>
      <c r="N60" s="194"/>
      <c r="O60" s="122"/>
      <c r="R60" s="122"/>
      <c r="S60" s="307"/>
      <c r="T60" s="122"/>
      <c r="U60" s="112"/>
    </row>
    <row r="61" spans="1:21" s="134" customFormat="1">
      <c r="B61" s="193"/>
      <c r="F61" s="112"/>
      <c r="G61" s="325"/>
      <c r="H61" s="325"/>
      <c r="I61" s="326"/>
      <c r="J61" s="198"/>
      <c r="N61" s="194"/>
      <c r="O61" s="122"/>
      <c r="R61" s="122"/>
      <c r="S61" s="307"/>
      <c r="T61" s="122"/>
      <c r="U61" s="112"/>
    </row>
    <row r="62" spans="1:21" s="134" customFormat="1" ht="15" thickBot="1">
      <c r="B62" s="199"/>
      <c r="C62" s="200"/>
      <c r="D62" s="201"/>
      <c r="E62" s="201"/>
      <c r="F62" s="202"/>
      <c r="G62" s="203"/>
      <c r="H62" s="202"/>
      <c r="I62" s="200"/>
      <c r="J62" s="201"/>
      <c r="K62" s="201"/>
      <c r="L62" s="202"/>
      <c r="M62" s="203"/>
      <c r="N62" s="204"/>
      <c r="O62" s="122"/>
      <c r="R62" s="122"/>
      <c r="S62" s="307"/>
      <c r="T62" s="122"/>
      <c r="U62" s="112"/>
    </row>
    <row r="63" spans="1:21" s="134" customFormat="1" ht="15" thickTop="1"/>
    <row r="64" spans="1:21" s="14" customFormat="1" hidden="1">
      <c r="L64" s="327"/>
    </row>
    <row r="65" s="14" customFormat="1" hidden="1"/>
    <row r="66" s="14" customFormat="1" hidden="1"/>
    <row r="67" s="14" customFormat="1" hidden="1"/>
    <row r="68" s="14" customFormat="1" hidden="1"/>
    <row r="69" s="14" customFormat="1" hidden="1"/>
    <row r="70" s="14" customFormat="1" hidden="1"/>
    <row r="71" s="14" customFormat="1" hidden="1"/>
    <row r="72" s="14" customFormat="1" hidden="1"/>
    <row r="73" s="14" customFormat="1" hidden="1"/>
    <row r="74" s="14" customFormat="1" hidden="1"/>
    <row r="75" s="14" customFormat="1" hidden="1"/>
    <row r="76" s="14" customFormat="1" hidden="1"/>
    <row r="77" s="14" customFormat="1" hidden="1"/>
    <row r="78" s="14" customFormat="1" hidden="1"/>
    <row r="79" s="14" customFormat="1" hidden="1"/>
    <row r="80" s="14" customFormat="1" hidden="1"/>
    <row r="81" spans="2:3" s="14" customFormat="1" hidden="1"/>
    <row r="82" spans="2:3" s="14" customFormat="1" hidden="1"/>
    <row r="83" spans="2:3" s="14" customFormat="1" hidden="1"/>
    <row r="84" spans="2:3" s="14" customFormat="1" hidden="1"/>
    <row r="85" spans="2:3" hidden="1"/>
    <row r="86" spans="2:3" hidden="1"/>
    <row r="87" spans="2:3" hidden="1"/>
    <row r="88" spans="2:3" hidden="1">
      <c r="B88" s="14"/>
      <c r="C88" s="14"/>
    </row>
    <row r="89" spans="2:3" hidden="1">
      <c r="B89" s="14"/>
      <c r="C89" s="14"/>
    </row>
    <row r="90" spans="2:3" hidden="1">
      <c r="B90" s="14"/>
      <c r="C90" s="14"/>
    </row>
    <row r="91" spans="2:3" hidden="1">
      <c r="B91" s="14"/>
      <c r="C91" s="14"/>
    </row>
    <row r="92" spans="2:3" hidden="1">
      <c r="B92" s="14"/>
      <c r="C92" s="14"/>
    </row>
    <row r="93" spans="2:3" hidden="1">
      <c r="B93" s="14"/>
      <c r="C93" s="14"/>
    </row>
    <row r="94" spans="2:3" hidden="1">
      <c r="B94" s="14"/>
      <c r="C94" s="14"/>
    </row>
    <row r="95" spans="2:3" hidden="1">
      <c r="B95" s="14"/>
      <c r="C95" s="14"/>
    </row>
    <row r="96" spans="2:3" hidden="1">
      <c r="B96" s="14"/>
      <c r="C96" s="14"/>
    </row>
    <row r="97" spans="2:13" hidden="1">
      <c r="B97" s="14"/>
      <c r="C97" s="14"/>
    </row>
    <row r="98" spans="2:13" hidden="1">
      <c r="B98" s="14"/>
      <c r="C98" s="14"/>
    </row>
    <row r="99" spans="2:13" hidden="1">
      <c r="B99" s="14"/>
      <c r="C99" s="14"/>
    </row>
    <row r="100" spans="2:13" hidden="1">
      <c r="B100" s="14"/>
      <c r="C100" s="14"/>
    </row>
    <row r="101" spans="2:13" hidden="1">
      <c r="B101" s="14"/>
      <c r="C101" s="14"/>
    </row>
    <row r="102" spans="2:13" hidden="1"/>
    <row r="103" spans="2:13" hidden="1"/>
    <row r="104" spans="2:13" hidden="1"/>
    <row r="105" spans="2:13" hidden="1"/>
    <row r="106" spans="2:13" hidden="1"/>
    <row r="107" spans="2:13" hidden="1"/>
    <row r="108" spans="2:13" hidden="1"/>
    <row r="109" spans="2:13" hidden="1"/>
    <row r="110" spans="2:13" hidden="1"/>
    <row r="111" spans="2:13" hidden="1">
      <c r="M111" s="7"/>
    </row>
    <row r="112" spans="2:13"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row r="4742"/>
    <row r="4743"/>
    <row r="4744"/>
    <row r="4745"/>
    <row r="4746"/>
    <row r="4747"/>
    <row r="4748"/>
    <row r="4749"/>
  </sheetData>
  <mergeCells count="25">
    <mergeCell ref="H49:I49"/>
    <mergeCell ref="F49:G49"/>
    <mergeCell ref="D49:E50"/>
    <mergeCell ref="B37:N37"/>
    <mergeCell ref="C39:E39"/>
    <mergeCell ref="J49:L49"/>
    <mergeCell ref="B46:N46"/>
    <mergeCell ref="B7:N7"/>
    <mergeCell ref="B11:N11"/>
    <mergeCell ref="D33:I33"/>
    <mergeCell ref="D24:I24"/>
    <mergeCell ref="D34:I34"/>
    <mergeCell ref="D15:I15"/>
    <mergeCell ref="D25:I25"/>
    <mergeCell ref="E9:M9"/>
    <mergeCell ref="D58:E58"/>
    <mergeCell ref="D59:E59"/>
    <mergeCell ref="D60:E60"/>
    <mergeCell ref="D56:E56"/>
    <mergeCell ref="D51:E51"/>
    <mergeCell ref="D52:E52"/>
    <mergeCell ref="D53:E53"/>
    <mergeCell ref="D54:E54"/>
    <mergeCell ref="D57:E57"/>
    <mergeCell ref="D55:E55"/>
  </mergeCells>
  <dataValidations count="1">
    <dataValidation allowBlank="1" showErrorMessage="1" prompt="Inserir unidade" sqref="K27:K34 K17:K20 K24 K14:K15 K22" xr:uid="{00000000-0002-0000-0600-000000000000}"/>
  </dataValidations>
  <pageMargins left="0.511811024" right="0.511811024" top="0.78740157499999996" bottom="0.78740157499999996" header="0.31496062000000002" footer="0.31496062000000002"/>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'Apoio_Provisão Biomassa Comb.'!$A$14:$A$28</xm:f>
          </x14:formula1>
          <xm:sqref>J14</xm:sqref>
        </x14:dataValidation>
        <x14:dataValidation type="list" allowBlank="1" showInputMessage="1" showErrorMessage="1" xr:uid="{00000000-0002-0000-0600-000002000000}">
          <x14:formula1>
            <xm:f>'Apoio_Provisão Biomassa Comb.'!$A$14:$A$70</xm:f>
          </x14:formula1>
          <xm:sqref>J24</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1:FP81"/>
  <sheetViews>
    <sheetView showGridLines="0" zoomScale="90" zoomScaleNormal="90" workbookViewId="0">
      <selection activeCell="J14" sqref="J14"/>
    </sheetView>
  </sheetViews>
  <sheetFormatPr defaultColWidth="0" defaultRowHeight="14.4" zeroHeight="1"/>
  <cols>
    <col min="1" max="1" width="39.88671875" style="211" bestFit="1" customWidth="1"/>
    <col min="2" max="2" width="14.88671875" style="211" customWidth="1"/>
    <col min="3" max="3" width="17.33203125" style="218" customWidth="1"/>
    <col min="4" max="4" width="20.6640625" style="211" hidden="1" customWidth="1"/>
    <col min="5" max="5" width="18.88671875" style="212" customWidth="1"/>
    <col min="6" max="6" width="14.109375" style="212" hidden="1" customWidth="1"/>
    <col min="7" max="7" width="13" style="211" customWidth="1"/>
    <col min="8" max="8" width="8.88671875" style="211" customWidth="1"/>
    <col min="9" max="14" width="14.44140625" style="211" customWidth="1"/>
    <col min="15" max="18" width="8.88671875" style="211" hidden="1" customWidth="1"/>
    <col min="19" max="21" width="0" style="213" hidden="1" customWidth="1"/>
    <col min="22" max="170" width="0" style="14" hidden="1" customWidth="1"/>
    <col min="171" max="172" width="0" style="5" hidden="1" customWidth="1"/>
    <col min="173" max="16384" width="8.88671875" style="5" hidden="1"/>
  </cols>
  <sheetData>
    <row r="1" spans="1:170"/>
    <row r="2" spans="1:170"/>
    <row r="3" spans="1:170"/>
    <row r="4" spans="1:170"/>
    <row r="5" spans="1:170"/>
    <row r="6" spans="1:170"/>
    <row r="7" spans="1:170"/>
    <row r="8" spans="1:170" ht="16.2" thickBot="1">
      <c r="A8" s="1744" t="s">
        <v>1266</v>
      </c>
      <c r="B8" s="1744"/>
      <c r="C8" s="1744"/>
      <c r="D8" s="1744"/>
      <c r="E8" s="1744"/>
      <c r="F8" s="1744"/>
      <c r="G8" s="1744"/>
      <c r="H8" s="1744"/>
      <c r="I8" s="1744"/>
      <c r="J8" s="1744"/>
      <c r="K8" s="1744"/>
      <c r="L8" s="1744"/>
      <c r="M8" s="1744"/>
      <c r="N8" s="1744"/>
      <c r="O8" s="1744"/>
      <c r="P8" s="1744"/>
      <c r="Q8" s="1744"/>
      <c r="R8" s="1745"/>
    </row>
    <row r="9" spans="1:170"/>
    <row r="10" spans="1:170"/>
    <row r="11" spans="1:170"/>
    <row r="12" spans="1:170" ht="15" thickBot="1"/>
    <row r="13" spans="1:170" s="218" customFormat="1" ht="15" thickBot="1">
      <c r="A13" s="1073" t="s">
        <v>1147</v>
      </c>
      <c r="B13" s="1191" t="s">
        <v>1121</v>
      </c>
      <c r="C13" s="1074" t="s">
        <v>502</v>
      </c>
      <c r="D13" s="1074" t="s">
        <v>1122</v>
      </c>
      <c r="E13" s="1075" t="s">
        <v>1146</v>
      </c>
      <c r="F13" s="1075" t="s">
        <v>1145</v>
      </c>
      <c r="G13" s="1076" t="s">
        <v>1145</v>
      </c>
      <c r="H13" s="216"/>
      <c r="I13" s="216"/>
      <c r="J13" s="216"/>
      <c r="K13" s="216"/>
      <c r="L13" s="216"/>
      <c r="M13" s="216"/>
      <c r="N13" s="216"/>
      <c r="O13" s="216"/>
      <c r="P13" s="211"/>
      <c r="Q13" s="211"/>
      <c r="R13" s="211"/>
      <c r="S13" s="213"/>
      <c r="T13" s="213"/>
      <c r="U13" s="213"/>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217"/>
      <c r="BK13" s="217"/>
      <c r="BL13" s="217"/>
      <c r="BM13" s="217"/>
      <c r="BN13" s="217"/>
      <c r="BO13" s="217"/>
      <c r="BP13" s="217"/>
      <c r="BQ13" s="217"/>
      <c r="BR13" s="217"/>
      <c r="BS13" s="217"/>
      <c r="BT13" s="217"/>
      <c r="BU13" s="217"/>
      <c r="BV13" s="217"/>
      <c r="BW13" s="217"/>
      <c r="BX13" s="217"/>
      <c r="BY13" s="217"/>
      <c r="BZ13" s="217"/>
      <c r="CA13" s="217"/>
      <c r="CB13" s="217"/>
      <c r="CC13" s="217"/>
      <c r="CD13" s="217"/>
      <c r="CE13" s="217"/>
      <c r="CF13" s="217"/>
      <c r="CG13" s="217"/>
      <c r="CH13" s="217"/>
      <c r="CI13" s="217"/>
      <c r="CJ13" s="217"/>
      <c r="CK13" s="217"/>
      <c r="CL13" s="217"/>
      <c r="CM13" s="217"/>
      <c r="CN13" s="217"/>
      <c r="CO13" s="217"/>
      <c r="CP13" s="217"/>
      <c r="CQ13" s="217"/>
      <c r="CR13" s="217"/>
      <c r="CS13" s="217"/>
      <c r="CT13" s="217"/>
      <c r="CU13" s="217"/>
      <c r="CV13" s="217"/>
      <c r="CW13" s="217"/>
      <c r="CX13" s="217"/>
      <c r="CY13" s="217"/>
      <c r="CZ13" s="217"/>
      <c r="DA13" s="217"/>
      <c r="DB13" s="217"/>
      <c r="DC13" s="217"/>
      <c r="DD13" s="217"/>
      <c r="DE13" s="217"/>
      <c r="DF13" s="217"/>
      <c r="DG13" s="217"/>
      <c r="DH13" s="217"/>
      <c r="DI13" s="217"/>
      <c r="DJ13" s="217"/>
      <c r="DK13" s="217"/>
      <c r="DL13" s="217"/>
      <c r="DM13" s="217"/>
      <c r="DN13" s="217"/>
      <c r="DO13" s="217"/>
      <c r="DP13" s="217"/>
      <c r="DQ13" s="217"/>
      <c r="DR13" s="217"/>
      <c r="DS13" s="217"/>
      <c r="DT13" s="217"/>
      <c r="DU13" s="217"/>
      <c r="DV13" s="217"/>
      <c r="DW13" s="217"/>
      <c r="DX13" s="217"/>
      <c r="DY13" s="217"/>
      <c r="DZ13" s="217"/>
      <c r="EA13" s="217"/>
      <c r="EB13" s="217"/>
      <c r="EC13" s="217"/>
      <c r="ED13" s="217"/>
      <c r="EE13" s="217"/>
      <c r="EF13" s="217"/>
      <c r="EG13" s="217"/>
      <c r="EH13" s="217"/>
      <c r="EI13" s="217"/>
      <c r="EJ13" s="217"/>
      <c r="EK13" s="217"/>
      <c r="EL13" s="217"/>
      <c r="EM13" s="217"/>
      <c r="EN13" s="217"/>
      <c r="EO13" s="217"/>
      <c r="EP13" s="217"/>
      <c r="EQ13" s="217"/>
      <c r="ER13" s="217"/>
      <c r="ES13" s="217"/>
      <c r="ET13" s="217"/>
      <c r="EU13" s="217"/>
      <c r="EV13" s="217"/>
      <c r="EW13" s="217"/>
      <c r="EX13" s="217"/>
      <c r="EY13" s="217"/>
      <c r="EZ13" s="217"/>
      <c r="FA13" s="217"/>
      <c r="FB13" s="217"/>
      <c r="FC13" s="217"/>
      <c r="FD13" s="217"/>
      <c r="FE13" s="217"/>
      <c r="FF13" s="217"/>
      <c r="FG13" s="217"/>
      <c r="FH13" s="217"/>
      <c r="FI13" s="217"/>
      <c r="FJ13" s="217"/>
      <c r="FK13" s="217"/>
      <c r="FL13" s="217"/>
      <c r="FM13" s="217"/>
      <c r="FN13" s="217"/>
    </row>
    <row r="14" spans="1:170" ht="15.6">
      <c r="A14" s="219" t="s">
        <v>12</v>
      </c>
      <c r="B14" s="220"/>
      <c r="C14" s="245" t="s">
        <v>1233</v>
      </c>
      <c r="D14" s="245" t="s">
        <v>524</v>
      </c>
      <c r="E14" s="246" t="s">
        <v>1336</v>
      </c>
      <c r="F14" s="247" t="s">
        <v>1159</v>
      </c>
      <c r="G14" s="248" t="s">
        <v>1184</v>
      </c>
      <c r="H14" s="216"/>
      <c r="I14" s="216"/>
      <c r="J14" s="216"/>
      <c r="K14" s="216"/>
      <c r="L14" s="216"/>
      <c r="M14" s="216"/>
      <c r="N14" s="216"/>
      <c r="O14" s="216"/>
    </row>
    <row r="15" spans="1:170">
      <c r="A15" s="221" t="s">
        <v>505</v>
      </c>
      <c r="B15" s="222" t="s">
        <v>506</v>
      </c>
      <c r="C15" s="254">
        <v>28.260899999999999</v>
      </c>
      <c r="D15" s="222" t="s">
        <v>507</v>
      </c>
      <c r="E15" s="237">
        <v>5.6735395882200005E-3</v>
      </c>
      <c r="F15" s="224">
        <v>0.79100000000000004</v>
      </c>
      <c r="G15" s="249">
        <f>F15/1000</f>
        <v>7.9100000000000004E-4</v>
      </c>
      <c r="H15" s="1746"/>
      <c r="I15" s="1746"/>
      <c r="J15" s="1746"/>
      <c r="K15" s="1746"/>
      <c r="L15" s="1746"/>
      <c r="M15" s="1746"/>
      <c r="N15" s="1746"/>
      <c r="O15" s="1746"/>
    </row>
    <row r="16" spans="1:170">
      <c r="A16" s="221" t="s">
        <v>503</v>
      </c>
      <c r="B16" s="222" t="s">
        <v>506</v>
      </c>
      <c r="C16" s="254">
        <v>26.376840000000001</v>
      </c>
      <c r="D16" s="222" t="s">
        <v>507</v>
      </c>
      <c r="E16" s="237">
        <v>5.4158035715280006E-3</v>
      </c>
      <c r="F16" s="224">
        <v>0.80900000000000005</v>
      </c>
      <c r="G16" s="249">
        <f t="shared" ref="G16:G27" si="0">F16/1000</f>
        <v>8.0900000000000004E-4</v>
      </c>
      <c r="H16" s="1746"/>
      <c r="I16" s="1746"/>
      <c r="J16" s="1746"/>
      <c r="K16" s="1746"/>
      <c r="L16" s="1746"/>
      <c r="M16" s="1746"/>
      <c r="N16" s="1746"/>
      <c r="O16" s="1746"/>
    </row>
    <row r="17" spans="1:15">
      <c r="A17" s="221" t="s">
        <v>508</v>
      </c>
      <c r="B17" s="222" t="s">
        <v>509</v>
      </c>
      <c r="C17" s="254">
        <v>8.9178840000000008</v>
      </c>
      <c r="D17" s="222" t="s">
        <v>510</v>
      </c>
      <c r="E17" s="237">
        <v>17.318530727999999</v>
      </c>
      <c r="F17" s="225">
        <v>1000</v>
      </c>
      <c r="G17" s="249">
        <f t="shared" si="0"/>
        <v>1</v>
      </c>
      <c r="H17" s="1746"/>
      <c r="I17" s="1746"/>
      <c r="J17" s="1746"/>
      <c r="K17" s="1746"/>
      <c r="L17" s="1746"/>
      <c r="M17" s="1746"/>
      <c r="N17" s="1746"/>
      <c r="O17" s="1746"/>
    </row>
    <row r="18" spans="1:15">
      <c r="A18" s="221" t="s">
        <v>512</v>
      </c>
      <c r="B18" s="222" t="s">
        <v>506</v>
      </c>
      <c r="C18" s="254">
        <v>37.681199999999997</v>
      </c>
      <c r="D18" s="222" t="s">
        <v>507</v>
      </c>
      <c r="E18" s="237">
        <v>8.4158699327999999E-3</v>
      </c>
      <c r="F18" s="225">
        <v>0.88</v>
      </c>
      <c r="G18" s="249">
        <f t="shared" si="0"/>
        <v>8.8000000000000003E-4</v>
      </c>
      <c r="H18" s="1746"/>
      <c r="I18" s="1746"/>
      <c r="J18" s="1746"/>
      <c r="K18" s="1746"/>
      <c r="L18" s="1746"/>
      <c r="M18" s="1746"/>
      <c r="N18" s="1746"/>
      <c r="O18" s="1746"/>
    </row>
    <row r="19" spans="1:15">
      <c r="A19" s="226" t="s">
        <v>1186</v>
      </c>
      <c r="B19" s="222" t="s">
        <v>509</v>
      </c>
      <c r="C19" s="254">
        <v>50.4</v>
      </c>
      <c r="D19" s="223" t="s">
        <v>510</v>
      </c>
      <c r="E19" s="238">
        <v>2.7619199999999999</v>
      </c>
      <c r="F19" s="223">
        <v>1000</v>
      </c>
      <c r="G19" s="249">
        <f t="shared" si="0"/>
        <v>1</v>
      </c>
      <c r="H19" s="1746"/>
      <c r="I19" s="1746"/>
      <c r="J19" s="1746"/>
      <c r="K19" s="1746"/>
      <c r="L19" s="1746"/>
      <c r="M19" s="1746"/>
      <c r="N19" s="1746"/>
      <c r="O19" s="1746"/>
    </row>
    <row r="20" spans="1:15">
      <c r="A20" s="221" t="s">
        <v>513</v>
      </c>
      <c r="B20" s="222" t="s">
        <v>509</v>
      </c>
      <c r="C20" s="254">
        <v>2.5958159999999997</v>
      </c>
      <c r="D20" s="223" t="s">
        <v>510</v>
      </c>
      <c r="E20" s="238">
        <v>0.65881810079999992</v>
      </c>
      <c r="F20" s="223">
        <v>1000</v>
      </c>
      <c r="G20" s="249">
        <f t="shared" si="0"/>
        <v>1</v>
      </c>
      <c r="H20" s="1746"/>
      <c r="I20" s="1746"/>
      <c r="J20" s="1746"/>
      <c r="K20" s="1746"/>
      <c r="L20" s="1746"/>
      <c r="M20" s="1746"/>
      <c r="N20" s="1746"/>
      <c r="O20" s="1746"/>
    </row>
    <row r="21" spans="1:15">
      <c r="A21" s="221" t="s">
        <v>514</v>
      </c>
      <c r="B21" s="222" t="s">
        <v>509</v>
      </c>
      <c r="C21" s="254">
        <v>28.260899999999999</v>
      </c>
      <c r="D21" s="223" t="s">
        <v>510</v>
      </c>
      <c r="E21" s="238">
        <v>174.9914928</v>
      </c>
      <c r="F21" s="223">
        <v>1000</v>
      </c>
      <c r="G21" s="249">
        <f t="shared" si="0"/>
        <v>1</v>
      </c>
      <c r="H21" s="1746"/>
      <c r="I21" s="1746"/>
      <c r="J21" s="1746"/>
      <c r="K21" s="1746"/>
      <c r="L21" s="1746"/>
      <c r="M21" s="1746"/>
      <c r="N21" s="1746"/>
      <c r="O21" s="1746"/>
    </row>
    <row r="22" spans="1:15">
      <c r="A22" s="221" t="s">
        <v>515</v>
      </c>
      <c r="B22" s="222" t="s">
        <v>509</v>
      </c>
      <c r="C22" s="254">
        <v>18.086976</v>
      </c>
      <c r="D22" s="223" t="s">
        <v>510</v>
      </c>
      <c r="E22" s="238">
        <v>35.124907391999997</v>
      </c>
      <c r="F22" s="223">
        <v>1000</v>
      </c>
      <c r="G22" s="249">
        <f t="shared" si="0"/>
        <v>1</v>
      </c>
      <c r="H22" s="1746"/>
      <c r="I22" s="1746"/>
      <c r="J22" s="1746"/>
      <c r="K22" s="1746"/>
      <c r="L22" s="1746"/>
      <c r="M22" s="1746"/>
      <c r="N22" s="1746"/>
      <c r="O22" s="1746"/>
    </row>
    <row r="23" spans="1:15">
      <c r="A23" s="221" t="s">
        <v>516</v>
      </c>
      <c r="B23" s="222" t="s">
        <v>509</v>
      </c>
      <c r="C23" s="254">
        <v>18.086976</v>
      </c>
      <c r="D23" s="223" t="s">
        <v>510</v>
      </c>
      <c r="E23" s="238">
        <v>35.124907391999997</v>
      </c>
      <c r="F23" s="223">
        <v>1000</v>
      </c>
      <c r="G23" s="249">
        <f t="shared" si="0"/>
        <v>1</v>
      </c>
      <c r="H23" s="1746"/>
      <c r="I23" s="1746"/>
      <c r="J23" s="1746"/>
      <c r="K23" s="1746"/>
      <c r="L23" s="1746"/>
      <c r="M23" s="1746"/>
      <c r="N23" s="1746"/>
      <c r="O23" s="1746"/>
    </row>
    <row r="24" spans="1:15">
      <c r="A24" s="221" t="s">
        <v>517</v>
      </c>
      <c r="B24" s="222" t="s">
        <v>509</v>
      </c>
      <c r="C24" s="254">
        <v>11.974247999999999</v>
      </c>
      <c r="D24" s="222" t="s">
        <v>510</v>
      </c>
      <c r="E24" s="237">
        <v>8.0347204080000001</v>
      </c>
      <c r="F24" s="223">
        <v>1000</v>
      </c>
      <c r="G24" s="249">
        <f t="shared" si="0"/>
        <v>1</v>
      </c>
      <c r="H24" s="1746"/>
      <c r="I24" s="1746"/>
      <c r="J24" s="1746"/>
      <c r="K24" s="1746"/>
      <c r="L24" s="1746"/>
      <c r="M24" s="1746"/>
      <c r="N24" s="1746"/>
      <c r="O24" s="1746"/>
    </row>
    <row r="25" spans="1:15">
      <c r="A25" s="221" t="s">
        <v>518</v>
      </c>
      <c r="B25" s="222" t="s">
        <v>509</v>
      </c>
      <c r="C25" s="254">
        <v>7.7455800000000004</v>
      </c>
      <c r="D25" s="222" t="s">
        <v>510</v>
      </c>
      <c r="E25" s="237">
        <v>1.9658282040000001</v>
      </c>
      <c r="F25" s="223">
        <v>1000</v>
      </c>
      <c r="G25" s="249">
        <f t="shared" si="0"/>
        <v>1</v>
      </c>
      <c r="H25" s="1746"/>
      <c r="I25" s="1746"/>
      <c r="J25" s="1746"/>
      <c r="K25" s="1746"/>
      <c r="L25" s="1746"/>
      <c r="M25" s="1746"/>
      <c r="N25" s="1746"/>
      <c r="O25" s="1746"/>
    </row>
    <row r="26" spans="1:15">
      <c r="A26" s="221" t="s">
        <v>519</v>
      </c>
      <c r="B26" s="222" t="s">
        <v>509</v>
      </c>
      <c r="C26" s="254">
        <v>11.6</v>
      </c>
      <c r="D26" s="222" t="s">
        <v>510</v>
      </c>
      <c r="E26" s="237">
        <v>22.527200000000001</v>
      </c>
      <c r="F26" s="223">
        <v>1000</v>
      </c>
      <c r="G26" s="249">
        <f t="shared" si="0"/>
        <v>1</v>
      </c>
      <c r="H26" s="1746"/>
      <c r="I26" s="1746"/>
      <c r="J26" s="1746"/>
      <c r="K26" s="1746"/>
      <c r="L26" s="1746"/>
      <c r="M26" s="1746"/>
      <c r="N26" s="1746"/>
      <c r="O26" s="1746"/>
    </row>
    <row r="27" spans="1:15">
      <c r="A27" s="221" t="s">
        <v>520</v>
      </c>
      <c r="B27" s="222" t="s">
        <v>509</v>
      </c>
      <c r="C27" s="254">
        <v>11.6</v>
      </c>
      <c r="D27" s="222" t="s">
        <v>510</v>
      </c>
      <c r="E27" s="237">
        <v>22.527200000000001</v>
      </c>
      <c r="F27" s="223">
        <v>1000</v>
      </c>
      <c r="G27" s="249">
        <f t="shared" si="0"/>
        <v>1</v>
      </c>
      <c r="H27" s="1746"/>
      <c r="I27" s="1746"/>
      <c r="J27" s="1746"/>
      <c r="K27" s="1746"/>
      <c r="L27" s="1746"/>
      <c r="M27" s="1746"/>
      <c r="N27" s="1746"/>
      <c r="O27" s="1746"/>
    </row>
    <row r="28" spans="1:15" ht="15" thickBot="1">
      <c r="A28" s="227" t="s">
        <v>1106</v>
      </c>
      <c r="B28" s="228"/>
      <c r="C28" s="255"/>
      <c r="D28" s="228"/>
      <c r="E28" s="239"/>
      <c r="F28" s="228" t="str">
        <f>IF(B28="Toneladas",1,"")</f>
        <v/>
      </c>
      <c r="G28" s="250">
        <v>1E+93</v>
      </c>
      <c r="H28" s="216"/>
      <c r="I28" s="216"/>
      <c r="J28" s="216"/>
      <c r="K28" s="216"/>
      <c r="L28" s="216"/>
      <c r="M28" s="216"/>
      <c r="N28" s="216"/>
      <c r="O28" s="216"/>
    </row>
    <row r="29" spans="1:15" ht="16.2">
      <c r="A29" s="219" t="s">
        <v>511</v>
      </c>
      <c r="B29" s="220" t="s">
        <v>497</v>
      </c>
      <c r="C29" s="256">
        <v>35.797139999999999</v>
      </c>
      <c r="D29" s="220" t="s">
        <v>1333</v>
      </c>
      <c r="E29" s="240">
        <v>3411.3600505799996</v>
      </c>
      <c r="F29" s="230">
        <v>1000</v>
      </c>
      <c r="G29" s="251">
        <f t="shared" ref="G29:G70" si="1">F29/1000</f>
        <v>1</v>
      </c>
      <c r="H29" s="216"/>
      <c r="I29" s="216"/>
      <c r="J29" s="216"/>
      <c r="K29" s="216"/>
      <c r="L29" s="216"/>
      <c r="M29" s="216"/>
      <c r="N29" s="216"/>
      <c r="O29" s="216"/>
    </row>
    <row r="30" spans="1:15" ht="16.2">
      <c r="A30" s="221" t="s">
        <v>522</v>
      </c>
      <c r="B30" s="222" t="s">
        <v>497</v>
      </c>
      <c r="C30" s="257">
        <v>40.988771999999997</v>
      </c>
      <c r="D30" s="222" t="s">
        <v>1333</v>
      </c>
      <c r="E30" s="241">
        <v>3401.1517720019397</v>
      </c>
      <c r="F30" s="223">
        <v>1025</v>
      </c>
      <c r="G30" s="249">
        <f t="shared" si="1"/>
        <v>1.0249999999999999</v>
      </c>
      <c r="H30" s="216"/>
      <c r="I30" s="216"/>
      <c r="J30" s="216"/>
      <c r="K30" s="216"/>
      <c r="L30" s="216"/>
      <c r="M30" s="216"/>
      <c r="N30" s="216"/>
      <c r="O30" s="216"/>
    </row>
    <row r="31" spans="1:15">
      <c r="A31" s="221" t="s">
        <v>523</v>
      </c>
      <c r="B31" s="222" t="s">
        <v>509</v>
      </c>
      <c r="C31" s="257">
        <v>30.982320000000001</v>
      </c>
      <c r="D31" s="222" t="s">
        <v>510</v>
      </c>
      <c r="E31" s="241">
        <v>2952.5221490399995</v>
      </c>
      <c r="F31" s="223">
        <v>1000</v>
      </c>
      <c r="G31" s="249">
        <f t="shared" si="1"/>
        <v>1</v>
      </c>
    </row>
    <row r="32" spans="1:15">
      <c r="A32" s="221" t="s">
        <v>525</v>
      </c>
      <c r="B32" s="222" t="s">
        <v>509</v>
      </c>
      <c r="C32" s="257">
        <v>26.879255999999998</v>
      </c>
      <c r="D32" s="222" t="s">
        <v>510</v>
      </c>
      <c r="E32" s="241">
        <v>2561.5124590319997</v>
      </c>
      <c r="F32" s="223">
        <v>1000</v>
      </c>
      <c r="G32" s="249">
        <f t="shared" si="1"/>
        <v>1</v>
      </c>
    </row>
    <row r="33" spans="1:7">
      <c r="A33" s="221" t="s">
        <v>526</v>
      </c>
      <c r="B33" s="222" t="s">
        <v>509</v>
      </c>
      <c r="C33" s="257">
        <v>12.35106</v>
      </c>
      <c r="D33" s="222" t="s">
        <v>510</v>
      </c>
      <c r="E33" s="241">
        <v>1177.0189648200001</v>
      </c>
      <c r="F33" s="223">
        <v>1000</v>
      </c>
      <c r="G33" s="249">
        <f t="shared" si="1"/>
        <v>1</v>
      </c>
    </row>
    <row r="34" spans="1:7">
      <c r="A34" s="221" t="s">
        <v>527</v>
      </c>
      <c r="B34" s="222" t="s">
        <v>509</v>
      </c>
      <c r="C34" s="257">
        <v>12.97908</v>
      </c>
      <c r="D34" s="222" t="s">
        <v>510</v>
      </c>
      <c r="E34" s="241">
        <v>1236.8673867599998</v>
      </c>
      <c r="F34" s="223">
        <v>1000</v>
      </c>
      <c r="G34" s="249">
        <f t="shared" si="1"/>
        <v>1</v>
      </c>
    </row>
    <row r="35" spans="1:7">
      <c r="A35" s="221" t="s">
        <v>528</v>
      </c>
      <c r="B35" s="222" t="s">
        <v>509</v>
      </c>
      <c r="C35" s="257">
        <v>14.653799999999999</v>
      </c>
      <c r="D35" s="222" t="s">
        <v>510</v>
      </c>
      <c r="E35" s="241">
        <v>1396.4631786</v>
      </c>
      <c r="F35" s="223">
        <v>1000</v>
      </c>
      <c r="G35" s="249">
        <f t="shared" si="1"/>
        <v>1</v>
      </c>
    </row>
    <row r="36" spans="1:7">
      <c r="A36" s="221" t="s">
        <v>529</v>
      </c>
      <c r="B36" s="222" t="s">
        <v>509</v>
      </c>
      <c r="C36" s="257">
        <v>16.747199999999999</v>
      </c>
      <c r="D36" s="222" t="s">
        <v>510</v>
      </c>
      <c r="E36" s="241">
        <v>1595.9579183999997</v>
      </c>
      <c r="F36" s="223">
        <v>1000</v>
      </c>
      <c r="G36" s="249">
        <f t="shared" si="1"/>
        <v>1</v>
      </c>
    </row>
    <row r="37" spans="1:7">
      <c r="A37" s="221" t="s">
        <v>530</v>
      </c>
      <c r="B37" s="222" t="s">
        <v>509</v>
      </c>
      <c r="C37" s="257">
        <v>17.793899999999997</v>
      </c>
      <c r="D37" s="222" t="s">
        <v>510</v>
      </c>
      <c r="E37" s="241">
        <v>1695.7052882999997</v>
      </c>
      <c r="F37" s="223">
        <v>1000</v>
      </c>
      <c r="G37" s="249">
        <f t="shared" si="1"/>
        <v>1</v>
      </c>
    </row>
    <row r="38" spans="1:7">
      <c r="A38" s="221" t="s">
        <v>531</v>
      </c>
      <c r="B38" s="222" t="s">
        <v>509</v>
      </c>
      <c r="C38" s="257">
        <v>18.631259999999997</v>
      </c>
      <c r="D38" s="222" t="s">
        <v>510</v>
      </c>
      <c r="E38" s="241">
        <v>1775.5031842199999</v>
      </c>
      <c r="F38" s="223">
        <v>1000</v>
      </c>
      <c r="G38" s="249">
        <f t="shared" si="1"/>
        <v>1</v>
      </c>
    </row>
    <row r="39" spans="1:7">
      <c r="A39" s="221" t="s">
        <v>532</v>
      </c>
      <c r="B39" s="222" t="s">
        <v>509</v>
      </c>
      <c r="C39" s="257">
        <v>20.515319999999999</v>
      </c>
      <c r="D39" s="222" t="s">
        <v>510</v>
      </c>
      <c r="E39" s="241">
        <v>1955.04845004</v>
      </c>
      <c r="F39" s="223">
        <v>1000</v>
      </c>
      <c r="G39" s="249">
        <f t="shared" si="1"/>
        <v>1</v>
      </c>
    </row>
    <row r="40" spans="1:7">
      <c r="A40" s="221" t="s">
        <v>533</v>
      </c>
      <c r="B40" s="222" t="s">
        <v>509</v>
      </c>
      <c r="C40" s="257">
        <v>23.446079999999998</v>
      </c>
      <c r="D40" s="222" t="s">
        <v>510</v>
      </c>
      <c r="E40" s="241">
        <v>2234.3410857599997</v>
      </c>
      <c r="F40" s="223">
        <v>1000</v>
      </c>
      <c r="G40" s="249">
        <f t="shared" si="1"/>
        <v>1</v>
      </c>
    </row>
    <row r="41" spans="1:7">
      <c r="A41" s="221" t="s">
        <v>534</v>
      </c>
      <c r="B41" s="222" t="s">
        <v>509</v>
      </c>
      <c r="C41" s="257">
        <v>23.864759999999997</v>
      </c>
      <c r="D41" s="222" t="s">
        <v>510</v>
      </c>
      <c r="E41" s="241">
        <v>2274.2400337199997</v>
      </c>
      <c r="F41" s="223">
        <v>1000</v>
      </c>
      <c r="G41" s="249">
        <f t="shared" si="1"/>
        <v>1</v>
      </c>
    </row>
    <row r="42" spans="1:7">
      <c r="A42" s="221" t="s">
        <v>535</v>
      </c>
      <c r="B42" s="222" t="s">
        <v>509</v>
      </c>
      <c r="C42" s="257">
        <v>11.932379999999998</v>
      </c>
      <c r="D42" s="222" t="s">
        <v>510</v>
      </c>
      <c r="E42" s="241">
        <v>1137.1200168599999</v>
      </c>
      <c r="F42" s="223">
        <v>1000</v>
      </c>
      <c r="G42" s="249">
        <f t="shared" si="1"/>
        <v>1</v>
      </c>
    </row>
    <row r="43" spans="1:7">
      <c r="A43" s="221" t="s">
        <v>536</v>
      </c>
      <c r="B43" s="222" t="s">
        <v>509</v>
      </c>
      <c r="C43" s="257">
        <v>28.888919999999999</v>
      </c>
      <c r="D43" s="222" t="s">
        <v>510</v>
      </c>
      <c r="E43" s="241">
        <v>3111.2500172399996</v>
      </c>
      <c r="F43" s="223">
        <v>1000</v>
      </c>
      <c r="G43" s="249">
        <f t="shared" si="1"/>
        <v>1</v>
      </c>
    </row>
    <row r="44" spans="1:7" ht="16.2">
      <c r="A44" s="221" t="s">
        <v>537</v>
      </c>
      <c r="B44" s="222" t="s">
        <v>497</v>
      </c>
      <c r="C44" s="257">
        <v>35.127251999999999</v>
      </c>
      <c r="D44" s="222" t="s">
        <v>1333</v>
      </c>
      <c r="E44" s="241">
        <v>3571.1752612199039</v>
      </c>
      <c r="F44" s="223">
        <v>1040</v>
      </c>
      <c r="G44" s="249">
        <f t="shared" si="1"/>
        <v>1.04</v>
      </c>
    </row>
    <row r="45" spans="1:7">
      <c r="A45" s="221" t="s">
        <v>1267</v>
      </c>
      <c r="B45" s="222" t="s">
        <v>509</v>
      </c>
      <c r="C45" s="257">
        <v>46.4</v>
      </c>
      <c r="D45" s="222" t="s">
        <v>510</v>
      </c>
      <c r="E45" s="241">
        <v>2860.7827199999997</v>
      </c>
      <c r="F45" s="223">
        <v>1000</v>
      </c>
      <c r="G45" s="249">
        <f t="shared" si="1"/>
        <v>1</v>
      </c>
    </row>
    <row r="46" spans="1:7">
      <c r="A46" s="221" t="s">
        <v>538</v>
      </c>
      <c r="B46" s="222" t="s">
        <v>509</v>
      </c>
      <c r="C46" s="257">
        <v>38.700000000000003</v>
      </c>
      <c r="D46" s="222" t="s">
        <v>510</v>
      </c>
      <c r="E46" s="241">
        <v>1720.4007600000002</v>
      </c>
      <c r="F46" s="223">
        <v>1000</v>
      </c>
      <c r="G46" s="249">
        <f t="shared" si="1"/>
        <v>1</v>
      </c>
    </row>
    <row r="47" spans="1:7">
      <c r="A47" s="221" t="s">
        <v>539</v>
      </c>
      <c r="B47" s="222" t="s">
        <v>509</v>
      </c>
      <c r="C47" s="257">
        <v>49.5</v>
      </c>
      <c r="D47" s="222" t="s">
        <v>510</v>
      </c>
      <c r="E47" s="241">
        <v>2853.9126000000001</v>
      </c>
      <c r="F47" s="223">
        <v>1000</v>
      </c>
      <c r="G47" s="249">
        <f t="shared" si="1"/>
        <v>1</v>
      </c>
    </row>
    <row r="48" spans="1:7">
      <c r="A48" s="221" t="s">
        <v>540</v>
      </c>
      <c r="B48" s="222" t="s">
        <v>509</v>
      </c>
      <c r="C48" s="257">
        <v>46.473479999999995</v>
      </c>
      <c r="D48" s="222" t="s">
        <v>510</v>
      </c>
      <c r="E48" s="241">
        <v>2935.0233347039998</v>
      </c>
      <c r="F48" s="223">
        <v>1000</v>
      </c>
      <c r="G48" s="249">
        <f t="shared" si="1"/>
        <v>1</v>
      </c>
    </row>
    <row r="49" spans="1:16" ht="16.2">
      <c r="A49" s="221" t="s">
        <v>541</v>
      </c>
      <c r="B49" s="222" t="s">
        <v>497</v>
      </c>
      <c r="C49" s="257">
        <v>49.788972972972971</v>
      </c>
      <c r="D49" s="222" t="s">
        <v>1333</v>
      </c>
      <c r="E49" s="241">
        <v>2.068958466432</v>
      </c>
      <c r="F49" s="223">
        <v>0.74</v>
      </c>
      <c r="G49" s="249">
        <f t="shared" si="1"/>
        <v>7.3999999999999999E-4</v>
      </c>
    </row>
    <row r="50" spans="1:16" ht="16.2">
      <c r="A50" s="221" t="s">
        <v>542</v>
      </c>
      <c r="B50" s="222" t="s">
        <v>497</v>
      </c>
      <c r="C50" s="257">
        <v>56.182329729729723</v>
      </c>
      <c r="D50" s="222" t="s">
        <v>1333</v>
      </c>
      <c r="E50" s="241">
        <v>2.3346315422351998</v>
      </c>
      <c r="F50" s="223">
        <v>0.74</v>
      </c>
      <c r="G50" s="249">
        <f t="shared" si="1"/>
        <v>7.3999999999999999E-4</v>
      </c>
    </row>
    <row r="51" spans="1:16">
      <c r="A51" s="221" t="s">
        <v>543</v>
      </c>
      <c r="B51" s="222" t="s">
        <v>506</v>
      </c>
      <c r="C51" s="257">
        <v>43.542720000000003</v>
      </c>
      <c r="D51" s="222" t="s">
        <v>507</v>
      </c>
      <c r="E51" s="241">
        <v>2.2471927356453114</v>
      </c>
      <c r="F51" s="223">
        <v>0.74199999999999999</v>
      </c>
      <c r="G51" s="249">
        <f t="shared" si="1"/>
        <v>7.4200000000000004E-4</v>
      </c>
    </row>
    <row r="52" spans="1:16">
      <c r="A52" s="221" t="s">
        <v>1304</v>
      </c>
      <c r="B52" s="222" t="s">
        <v>506</v>
      </c>
      <c r="C52" s="258">
        <f>C51*0.75+C15*0.25</f>
        <v>39.722265</v>
      </c>
      <c r="D52" s="222" t="s">
        <v>507</v>
      </c>
      <c r="E52" s="242">
        <f>E51*0.734+E15*0.266</f>
        <v>1.6509486294941251</v>
      </c>
      <c r="F52" s="231">
        <f>F51*0.75+F15*0.25</f>
        <v>0.75424999999999998</v>
      </c>
      <c r="G52" s="252">
        <f>F52/1000</f>
        <v>7.5424999999999993E-4</v>
      </c>
    </row>
    <row r="53" spans="1:16">
      <c r="A53" s="221" t="s">
        <v>544</v>
      </c>
      <c r="B53" s="222" t="s">
        <v>506</v>
      </c>
      <c r="C53" s="257">
        <v>44.38008</v>
      </c>
      <c r="D53" s="222" t="s">
        <v>507</v>
      </c>
      <c r="E53" s="241">
        <v>2.3119029930047033</v>
      </c>
      <c r="F53" s="223">
        <v>0.72599999999999998</v>
      </c>
      <c r="G53" s="249">
        <f t="shared" si="1"/>
        <v>7.2599999999999997E-4</v>
      </c>
    </row>
    <row r="54" spans="1:16">
      <c r="A54" s="221" t="s">
        <v>545</v>
      </c>
      <c r="B54" s="222" t="s">
        <v>509</v>
      </c>
      <c r="C54" s="257">
        <v>44.2</v>
      </c>
      <c r="D54" s="222" t="s">
        <v>510</v>
      </c>
      <c r="E54" s="241">
        <v>2848.8579599999998</v>
      </c>
      <c r="F54" s="223">
        <v>1000</v>
      </c>
      <c r="G54" s="249">
        <f t="shared" si="1"/>
        <v>1</v>
      </c>
    </row>
    <row r="55" spans="1:16">
      <c r="A55" s="221" t="s">
        <v>546</v>
      </c>
      <c r="B55" s="222" t="s">
        <v>506</v>
      </c>
      <c r="C55" s="257">
        <v>42.370415999999999</v>
      </c>
      <c r="D55" s="222" t="s">
        <v>507</v>
      </c>
      <c r="E55" s="241">
        <v>2.7269419663332002</v>
      </c>
      <c r="F55" s="223">
        <v>0.875</v>
      </c>
      <c r="G55" s="249">
        <f t="shared" si="1"/>
        <v>8.7500000000000002E-4</v>
      </c>
    </row>
    <row r="56" spans="1:16" ht="16.2">
      <c r="A56" s="221" t="s">
        <v>547</v>
      </c>
      <c r="B56" s="222" t="s">
        <v>497</v>
      </c>
      <c r="C56" s="257">
        <v>44.505684000000002</v>
      </c>
      <c r="D56" s="222" t="s">
        <v>1333</v>
      </c>
      <c r="E56" s="241">
        <v>2298.0406502190385</v>
      </c>
      <c r="F56" s="223">
        <v>702</v>
      </c>
      <c r="G56" s="249">
        <f t="shared" si="1"/>
        <v>0.70199999999999996</v>
      </c>
    </row>
    <row r="57" spans="1:16">
      <c r="A57" s="221" t="s">
        <v>548</v>
      </c>
      <c r="B57" s="222" t="s">
        <v>506</v>
      </c>
      <c r="C57" s="257">
        <v>40.151411999999993</v>
      </c>
      <c r="D57" s="222" t="s">
        <v>507</v>
      </c>
      <c r="E57" s="241">
        <v>3.1179097171655994</v>
      </c>
      <c r="F57" s="223">
        <v>1</v>
      </c>
      <c r="G57" s="249">
        <f t="shared" si="1"/>
        <v>1E-3</v>
      </c>
    </row>
    <row r="58" spans="1:16">
      <c r="A58" s="221" t="s">
        <v>549</v>
      </c>
      <c r="B58" s="222" t="s">
        <v>509</v>
      </c>
      <c r="C58" s="257">
        <v>38.1</v>
      </c>
      <c r="D58" s="222" t="s">
        <v>510</v>
      </c>
      <c r="E58" s="241">
        <v>2802.3997800000002</v>
      </c>
      <c r="F58" s="223">
        <v>1000</v>
      </c>
      <c r="G58" s="249">
        <f t="shared" si="1"/>
        <v>1</v>
      </c>
      <c r="H58" s="232"/>
      <c r="I58" s="232"/>
      <c r="J58" s="232"/>
      <c r="K58" s="232"/>
      <c r="L58" s="232"/>
      <c r="M58" s="232"/>
      <c r="N58" s="232"/>
      <c r="O58" s="232"/>
      <c r="P58" s="232"/>
    </row>
    <row r="59" spans="1:16">
      <c r="A59" s="221" t="s">
        <v>550</v>
      </c>
      <c r="B59" s="222" t="s">
        <v>506</v>
      </c>
      <c r="C59" s="257">
        <v>42.286679999999997</v>
      </c>
      <c r="D59" s="222" t="s">
        <v>507</v>
      </c>
      <c r="E59" s="241">
        <v>2.6411072918025598</v>
      </c>
      <c r="F59" s="233">
        <v>0.84</v>
      </c>
      <c r="G59" s="249">
        <f>F59/1000</f>
        <v>8.3999999999999993E-4</v>
      </c>
      <c r="H59" s="232"/>
      <c r="I59" s="232"/>
      <c r="J59" s="232"/>
      <c r="K59" s="232"/>
      <c r="L59" s="232"/>
      <c r="M59" s="232"/>
      <c r="N59" s="232"/>
      <c r="O59" s="232"/>
      <c r="P59" s="232"/>
    </row>
    <row r="60" spans="1:16">
      <c r="A60" s="221" t="s">
        <v>1303</v>
      </c>
      <c r="B60" s="222" t="s">
        <v>506</v>
      </c>
      <c r="C60" s="257">
        <f>C59*0.93+C18*0.07</f>
        <v>41.964296400000002</v>
      </c>
      <c r="D60" s="222" t="s">
        <v>507</v>
      </c>
      <c r="E60" s="243">
        <f>E59*0.93+E18*0.07</f>
        <v>2.4568188922716767</v>
      </c>
      <c r="F60" s="233">
        <f>F59*0.93+F18*0.07</f>
        <v>0.84279999999999999</v>
      </c>
      <c r="G60" s="249">
        <f>F60/1000</f>
        <v>8.4279999999999999E-4</v>
      </c>
      <c r="H60" s="232"/>
      <c r="I60" s="232"/>
      <c r="J60" s="232"/>
      <c r="K60" s="232"/>
      <c r="L60" s="232"/>
      <c r="M60" s="232"/>
      <c r="N60" s="232"/>
      <c r="O60" s="232"/>
      <c r="P60" s="232"/>
    </row>
    <row r="61" spans="1:16">
      <c r="A61" s="221" t="s">
        <v>551</v>
      </c>
      <c r="B61" s="222" t="s">
        <v>509</v>
      </c>
      <c r="C61" s="257">
        <v>40.200000000000003</v>
      </c>
      <c r="D61" s="222" t="s">
        <v>510</v>
      </c>
      <c r="E61" s="241">
        <v>3024.7284</v>
      </c>
      <c r="F61" s="223">
        <v>1000</v>
      </c>
      <c r="G61" s="249">
        <f t="shared" si="1"/>
        <v>1</v>
      </c>
      <c r="H61" s="232"/>
      <c r="I61" s="232"/>
      <c r="J61" s="232"/>
      <c r="K61" s="232"/>
      <c r="L61" s="232"/>
      <c r="M61" s="232"/>
      <c r="N61" s="232"/>
      <c r="O61" s="232"/>
      <c r="P61" s="232"/>
    </row>
    <row r="62" spans="1:16">
      <c r="A62" s="221" t="s">
        <v>552</v>
      </c>
      <c r="B62" s="222" t="s">
        <v>509</v>
      </c>
      <c r="C62" s="257">
        <v>42.705359999999999</v>
      </c>
      <c r="D62" s="222" t="s">
        <v>510</v>
      </c>
      <c r="E62" s="241">
        <v>3141.1415083680004</v>
      </c>
      <c r="F62" s="223">
        <v>1000</v>
      </c>
      <c r="G62" s="249">
        <f t="shared" si="1"/>
        <v>1</v>
      </c>
      <c r="H62" s="232"/>
      <c r="I62" s="232"/>
      <c r="J62" s="232"/>
      <c r="K62" s="232"/>
      <c r="L62" s="232"/>
      <c r="M62" s="232"/>
      <c r="N62" s="232"/>
      <c r="O62" s="232"/>
      <c r="P62" s="232"/>
    </row>
    <row r="63" spans="1:16">
      <c r="A63" s="221" t="s">
        <v>553</v>
      </c>
      <c r="B63" s="222" t="s">
        <v>509</v>
      </c>
      <c r="C63" s="257">
        <v>40.200000000000003</v>
      </c>
      <c r="D63" s="222" t="s">
        <v>510</v>
      </c>
      <c r="E63" s="241">
        <v>2956.8627599999995</v>
      </c>
      <c r="F63" s="223">
        <v>1000</v>
      </c>
      <c r="G63" s="249">
        <f t="shared" si="1"/>
        <v>1</v>
      </c>
      <c r="H63" s="232"/>
      <c r="I63" s="232"/>
      <c r="J63" s="232"/>
      <c r="K63" s="232"/>
      <c r="L63" s="232"/>
      <c r="M63" s="232"/>
      <c r="N63" s="232"/>
      <c r="O63" s="232"/>
      <c r="P63" s="232"/>
    </row>
    <row r="64" spans="1:16" ht="16.2">
      <c r="A64" s="221" t="s">
        <v>554</v>
      </c>
      <c r="B64" s="222" t="s">
        <v>497</v>
      </c>
      <c r="C64" s="257">
        <v>42.663491999999998</v>
      </c>
      <c r="D64" s="222" t="s">
        <v>1333</v>
      </c>
      <c r="E64" s="241">
        <v>2774.0467707567263</v>
      </c>
      <c r="F64" s="223">
        <v>884</v>
      </c>
      <c r="G64" s="249">
        <f t="shared" si="1"/>
        <v>0.88400000000000001</v>
      </c>
    </row>
    <row r="65" spans="1:17">
      <c r="A65" s="221" t="s">
        <v>555</v>
      </c>
      <c r="B65" s="222" t="s">
        <v>509</v>
      </c>
      <c r="C65" s="257">
        <v>43.542720000000003</v>
      </c>
      <c r="D65" s="222" t="s">
        <v>510</v>
      </c>
      <c r="E65" s="241">
        <v>3124.3556223359997</v>
      </c>
      <c r="F65" s="223">
        <v>1000</v>
      </c>
      <c r="G65" s="249">
        <f t="shared" si="1"/>
        <v>1</v>
      </c>
    </row>
    <row r="66" spans="1:17">
      <c r="A66" s="221" t="s">
        <v>556</v>
      </c>
      <c r="B66" s="222" t="s">
        <v>509</v>
      </c>
      <c r="C66" s="257">
        <v>43.542720000000003</v>
      </c>
      <c r="D66" s="222" t="s">
        <v>510</v>
      </c>
      <c r="E66" s="241">
        <v>3141.7727103359998</v>
      </c>
      <c r="F66" s="223">
        <v>1000</v>
      </c>
      <c r="G66" s="249">
        <f t="shared" si="1"/>
        <v>1</v>
      </c>
    </row>
    <row r="67" spans="1:17">
      <c r="A67" s="221" t="s">
        <v>557</v>
      </c>
      <c r="B67" s="222" t="s">
        <v>509</v>
      </c>
      <c r="C67" s="257">
        <v>10</v>
      </c>
      <c r="D67" s="222" t="s">
        <v>510</v>
      </c>
      <c r="E67" s="241">
        <v>936.42</v>
      </c>
      <c r="F67" s="223">
        <v>1000</v>
      </c>
      <c r="G67" s="249">
        <f t="shared" si="1"/>
        <v>1</v>
      </c>
    </row>
    <row r="68" spans="1:17">
      <c r="A68" s="221" t="s">
        <v>558</v>
      </c>
      <c r="B68" s="222" t="s">
        <v>506</v>
      </c>
      <c r="C68" s="257">
        <v>44.170739999999995</v>
      </c>
      <c r="D68" s="222" t="s">
        <v>507</v>
      </c>
      <c r="E68" s="241">
        <v>2.4074539998766915</v>
      </c>
      <c r="F68" s="223">
        <v>0.74099999999999999</v>
      </c>
      <c r="G68" s="249">
        <f t="shared" si="1"/>
        <v>7.4100000000000001E-4</v>
      </c>
    </row>
    <row r="69" spans="1:17">
      <c r="A69" s="221" t="s">
        <v>559</v>
      </c>
      <c r="B69" s="222" t="s">
        <v>509</v>
      </c>
      <c r="C69" s="257">
        <v>9.76</v>
      </c>
      <c r="D69" s="222" t="s">
        <v>510</v>
      </c>
      <c r="E69" s="241">
        <v>1039.4107200000001</v>
      </c>
      <c r="F69" s="223">
        <v>1000</v>
      </c>
      <c r="G69" s="249">
        <f t="shared" si="1"/>
        <v>1</v>
      </c>
    </row>
    <row r="70" spans="1:17" ht="15" thickBot="1">
      <c r="A70" s="227" t="s">
        <v>560</v>
      </c>
      <c r="B70" s="228" t="s">
        <v>509</v>
      </c>
      <c r="C70" s="259">
        <v>8.9</v>
      </c>
      <c r="D70" s="228" t="s">
        <v>510</v>
      </c>
      <c r="E70" s="244">
        <v>958.50329999999997</v>
      </c>
      <c r="F70" s="229">
        <v>1000</v>
      </c>
      <c r="G70" s="253">
        <f t="shared" si="1"/>
        <v>1</v>
      </c>
    </row>
    <row r="71" spans="1:17" ht="15" thickBot="1">
      <c r="B71" s="234"/>
      <c r="C71" s="217"/>
      <c r="D71" s="213"/>
      <c r="E71" s="235"/>
    </row>
    <row r="72" spans="1:17" ht="16.2" thickBot="1">
      <c r="A72" s="1077" t="s">
        <v>1123</v>
      </c>
      <c r="B72" s="1078"/>
      <c r="C72" s="1079"/>
      <c r="D72" s="1078"/>
      <c r="E72" s="1080">
        <f>(VLOOKUP('Provisão Biomassa Combustível'!$J$24,A29:E70,5))/1000</f>
        <v>0.93641999999999992</v>
      </c>
      <c r="F72" s="1078"/>
      <c r="G72" s="1081" t="s">
        <v>1334</v>
      </c>
    </row>
    <row r="73" spans="1:17" ht="15" thickBot="1">
      <c r="E73" s="211"/>
      <c r="G73" s="212"/>
    </row>
    <row r="74" spans="1:17" ht="16.2" thickBot="1">
      <c r="A74" s="1082" t="s">
        <v>1335</v>
      </c>
      <c r="B74" s="1083"/>
      <c r="C74" s="1084"/>
      <c r="D74" s="1078"/>
      <c r="E74" s="1085" t="str">
        <f>IFERROR((IF('Provisão Biomassa Combustível'!J16="",(VLOOKUP('Provisão Biomassa Combustível'!$J$14,'Apoio_Provisão Biomassa Comb.'!$A$15:$C$70,3,FALSE)),'Provisão Biomassa Combustível'!J16))/(IF('Provisão Biomassa Combustível'!J26="",(VLOOKUP('Provisão Biomassa Combustível'!$J$24,'Apoio_Provisão Biomassa Comb.'!$A$15:$C$70,3,FALSE)),'Provisão Biomassa Combustível'!J26)),"-")</f>
        <v>-</v>
      </c>
      <c r="F74" s="1078"/>
      <c r="G74" s="1086" t="s">
        <v>1185</v>
      </c>
    </row>
    <row r="75" spans="1:17">
      <c r="Q75" s="216"/>
    </row>
    <row r="76" spans="1:17">
      <c r="E76" s="236"/>
    </row>
    <row r="77" spans="1:17" hidden="1">
      <c r="E77" s="211"/>
    </row>
    <row r="78" spans="1:17"/>
    <row r="79" spans="1:17"/>
    <row r="80" spans="1:17"/>
    <row r="81"/>
  </sheetData>
  <sheetProtection sheet="1" objects="1" scenarios="1" selectLockedCells="1"/>
  <mergeCells count="14">
    <mergeCell ref="A8:R8"/>
    <mergeCell ref="H24:O24"/>
    <mergeCell ref="H25:O25"/>
    <mergeCell ref="H26:O26"/>
    <mergeCell ref="H27:O27"/>
    <mergeCell ref="H15:O15"/>
    <mergeCell ref="H16:O16"/>
    <mergeCell ref="H17:O17"/>
    <mergeCell ref="H18:O18"/>
    <mergeCell ref="H19:O19"/>
    <mergeCell ref="H20:O20"/>
    <mergeCell ref="H21:O21"/>
    <mergeCell ref="H22:O22"/>
    <mergeCell ref="H23:O23"/>
  </mergeCells>
  <pageMargins left="0.511811024" right="0.511811024" top="0.78740157499999996" bottom="0.78740157499999996" header="0.31496062000000002" footer="0.31496062000000002"/>
  <pageSetup paperSize="9" orientation="portrait" r:id="rId1"/>
  <drawing r:id="rId2"/>
  <legacyDrawing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3978"/>
  </sheetPr>
  <dimension ref="A1:AV116"/>
  <sheetViews>
    <sheetView showGridLines="0" zoomScale="90" zoomScaleNormal="90" workbookViewId="0">
      <pane ySplit="7" topLeftCell="A8" activePane="bottomLeft" state="frozen"/>
      <selection activeCell="A3" sqref="A3"/>
      <selection pane="bottomLeft" activeCell="E41" sqref="E41"/>
    </sheetView>
  </sheetViews>
  <sheetFormatPr defaultColWidth="0" defaultRowHeight="14.4" zeroHeight="1"/>
  <cols>
    <col min="1" max="1" width="1.6640625" style="14" customWidth="1"/>
    <col min="2" max="2" width="3.44140625" style="5" customWidth="1"/>
    <col min="3" max="3" width="6.33203125" style="5" customWidth="1"/>
    <col min="4" max="5" width="14.6640625" style="5" customWidth="1"/>
    <col min="6" max="6" width="12.33203125" style="5" customWidth="1"/>
    <col min="7" max="8" width="14.6640625" style="5" customWidth="1"/>
    <col min="9" max="9" width="13.88671875" style="5" customWidth="1"/>
    <col min="10" max="10" width="14.44140625" style="5" customWidth="1"/>
    <col min="11" max="11" width="18.44140625" style="5" customWidth="1"/>
    <col min="12" max="12" width="14.6640625" style="5" customWidth="1"/>
    <col min="13" max="13" width="21.6640625" style="5" customWidth="1"/>
    <col min="14" max="14" width="11.6640625" style="5" customWidth="1"/>
    <col min="15" max="15" width="14.6640625" style="5" customWidth="1"/>
    <col min="16" max="16" width="14.6640625" style="5" hidden="1" customWidth="1"/>
    <col min="17" max="20" width="14.6640625" style="14" hidden="1" customWidth="1"/>
    <col min="21" max="22" width="8.88671875" style="14" hidden="1" customWidth="1"/>
    <col min="23" max="23" width="41" style="14" hidden="1" customWidth="1"/>
    <col min="24" max="24" width="11.44140625" style="14" hidden="1" customWidth="1"/>
    <col min="25" max="25" width="16.6640625" style="217" hidden="1" customWidth="1"/>
    <col min="26" max="26" width="9.109375" style="14" hidden="1" customWidth="1"/>
    <col min="27" max="27" width="10.88671875" style="14" hidden="1" customWidth="1"/>
    <col min="28" max="32" width="0" style="14" hidden="1" customWidth="1"/>
    <col min="33" max="48" width="0" style="5" hidden="1" customWidth="1"/>
    <col min="49" max="16384" width="8.88671875" style="5" hidden="1"/>
  </cols>
  <sheetData>
    <row r="1" spans="1:25"/>
    <row r="2" spans="1:25"/>
    <row r="3" spans="1:25"/>
    <row r="4" spans="1:25"/>
    <row r="5" spans="1:25"/>
    <row r="6" spans="1:25" ht="15" thickBot="1"/>
    <row r="7" spans="1:25" s="215" customFormat="1" ht="18.75" customHeight="1" thickTop="1">
      <c r="A7" s="616"/>
      <c r="B7" s="1678" t="s">
        <v>496</v>
      </c>
      <c r="C7" s="1679"/>
      <c r="D7" s="1679"/>
      <c r="E7" s="1679"/>
      <c r="F7" s="1679"/>
      <c r="G7" s="1679"/>
      <c r="H7" s="1679"/>
      <c r="I7" s="1679"/>
      <c r="J7" s="1679"/>
      <c r="K7" s="1679"/>
      <c r="L7" s="1679"/>
      <c r="M7" s="1679"/>
      <c r="N7" s="1680"/>
      <c r="O7" s="1207"/>
    </row>
    <row r="8" spans="1:25" s="328" customFormat="1" ht="18">
      <c r="A8" s="69"/>
      <c r="B8" s="329"/>
      <c r="C8" s="331"/>
      <c r="D8" s="112"/>
      <c r="E8" s="129" t="s">
        <v>1124</v>
      </c>
      <c r="F8" s="331"/>
      <c r="G8" s="112"/>
      <c r="H8" s="112"/>
      <c r="I8" s="112"/>
      <c r="J8" s="112"/>
      <c r="K8" s="130"/>
      <c r="L8" s="131"/>
      <c r="M8" s="1208"/>
      <c r="N8" s="1209"/>
      <c r="O8" s="329"/>
      <c r="Y8" s="330"/>
    </row>
    <row r="9" spans="1:25" s="328" customFormat="1" ht="48" customHeight="1">
      <c r="B9" s="329"/>
      <c r="C9" s="331"/>
      <c r="D9" s="133"/>
      <c r="E9" s="1767" t="s">
        <v>1301</v>
      </c>
      <c r="F9" s="1767"/>
      <c r="G9" s="1767"/>
      <c r="H9" s="1767"/>
      <c r="I9" s="1767"/>
      <c r="J9" s="1767"/>
      <c r="K9" s="1767"/>
      <c r="L9" s="1767"/>
      <c r="M9" s="1767"/>
      <c r="N9" s="69"/>
      <c r="O9" s="329"/>
      <c r="P9" s="331"/>
      <c r="Y9" s="330"/>
    </row>
    <row r="10" spans="1:25" s="328" customFormat="1">
      <c r="B10" s="329"/>
      <c r="C10" s="331"/>
      <c r="D10" s="331"/>
      <c r="E10" s="331"/>
      <c r="F10" s="331"/>
      <c r="G10" s="331"/>
      <c r="H10" s="331"/>
      <c r="I10" s="331"/>
      <c r="J10" s="331"/>
      <c r="K10" s="331"/>
      <c r="L10" s="331"/>
      <c r="M10" s="331"/>
      <c r="N10" s="69"/>
      <c r="O10" s="329"/>
      <c r="P10" s="331"/>
      <c r="W10" s="112"/>
      <c r="X10" s="112"/>
      <c r="Y10" s="280"/>
    </row>
    <row r="11" spans="1:25" s="328" customFormat="1" ht="15.6">
      <c r="B11" s="1663" t="s">
        <v>488</v>
      </c>
      <c r="C11" s="1664"/>
      <c r="D11" s="1664"/>
      <c r="E11" s="1664"/>
      <c r="F11" s="1664"/>
      <c r="G11" s="1664"/>
      <c r="H11" s="1664"/>
      <c r="I11" s="1664"/>
      <c r="J11" s="1664"/>
      <c r="K11" s="1664"/>
      <c r="L11" s="1664"/>
      <c r="M11" s="1664"/>
      <c r="N11" s="1665"/>
      <c r="O11" s="329"/>
      <c r="P11" s="331"/>
      <c r="W11" s="332"/>
      <c r="X11" s="112"/>
      <c r="Y11" s="280"/>
    </row>
    <row r="12" spans="1:25" s="328" customFormat="1" ht="17.25" customHeight="1" thickBot="1">
      <c r="B12" s="329"/>
      <c r="C12" s="331"/>
      <c r="D12" s="333"/>
      <c r="E12" s="333"/>
      <c r="F12" s="333"/>
      <c r="G12" s="333"/>
      <c r="H12" s="333"/>
      <c r="I12" s="333"/>
      <c r="J12" s="333"/>
      <c r="K12" s="331"/>
      <c r="L12" s="331"/>
      <c r="M12" s="331"/>
      <c r="N12" s="69"/>
      <c r="O12" s="329"/>
      <c r="P12" s="331"/>
      <c r="W12" s="332"/>
      <c r="X12" s="112"/>
      <c r="Y12" s="280"/>
    </row>
    <row r="13" spans="1:25" s="328" customFormat="1">
      <c r="B13" s="329"/>
      <c r="C13" s="331"/>
      <c r="D13" s="1091" t="s">
        <v>499</v>
      </c>
      <c r="E13" s="61"/>
      <c r="F13" s="61"/>
      <c r="G13" s="61"/>
      <c r="H13" s="61"/>
      <c r="I13" s="61"/>
      <c r="J13" s="61"/>
      <c r="K13" s="1185" t="s">
        <v>500</v>
      </c>
      <c r="L13" s="1185" t="s">
        <v>24</v>
      </c>
      <c r="M13" s="1186" t="s">
        <v>501</v>
      </c>
      <c r="N13" s="69"/>
      <c r="O13" s="329"/>
      <c r="P13" s="331"/>
      <c r="W13" s="332"/>
      <c r="X13" s="112"/>
      <c r="Y13" s="280"/>
    </row>
    <row r="14" spans="1:25" s="328" customFormat="1">
      <c r="B14" s="329"/>
      <c r="C14" s="331"/>
      <c r="D14" s="1759" t="s">
        <v>1130</v>
      </c>
      <c r="E14" s="1760"/>
      <c r="F14" s="1760"/>
      <c r="G14" s="1760"/>
      <c r="H14" s="1760"/>
      <c r="I14" s="1760"/>
      <c r="J14" s="1760"/>
      <c r="K14" s="1210" t="s">
        <v>12</v>
      </c>
      <c r="L14" s="1211"/>
      <c r="M14" s="335"/>
      <c r="N14" s="69"/>
      <c r="O14" s="329"/>
      <c r="P14" s="331"/>
      <c r="W14" s="112"/>
      <c r="X14" s="112"/>
      <c r="Y14" s="280"/>
    </row>
    <row r="15" spans="1:25" s="328" customFormat="1">
      <c r="B15" s="329"/>
      <c r="C15" s="331"/>
      <c r="D15" s="1761" t="s">
        <v>495</v>
      </c>
      <c r="E15" s="1762"/>
      <c r="F15" s="1762"/>
      <c r="G15" s="1762"/>
      <c r="H15" s="1762"/>
      <c r="I15" s="1762"/>
      <c r="J15" s="1762"/>
      <c r="K15" s="337" t="s">
        <v>12</v>
      </c>
      <c r="L15" s="67"/>
      <c r="M15" s="338"/>
      <c r="N15" s="69"/>
      <c r="O15" s="331"/>
      <c r="P15" s="331"/>
      <c r="W15" s="112"/>
      <c r="X15" s="112"/>
      <c r="Y15" s="280"/>
    </row>
    <row r="16" spans="1:25" s="328" customFormat="1" ht="15.6">
      <c r="B16" s="329"/>
      <c r="C16" s="331"/>
      <c r="D16" s="1761" t="s">
        <v>1355</v>
      </c>
      <c r="E16" s="1762"/>
      <c r="F16" s="1762"/>
      <c r="G16" s="1762"/>
      <c r="H16" s="1762"/>
      <c r="I16" s="1762"/>
      <c r="J16" s="1762"/>
      <c r="K16" s="141"/>
      <c r="L16" s="339" t="str">
        <f>IFERROR(IF($K$15="","",IF($K$14="Recursos Hídricos Superficiais",VLOOKUP($K$15,'Apoio_Regulação Qualidade Água'!A17:F145,6,0),VLOOKUP($K$15,'Apoio_Regulação Qualidade Água'!$H$17:$N$112,7,0))),"")</f>
        <v/>
      </c>
      <c r="M16" s="340"/>
      <c r="N16" s="69"/>
      <c r="O16" s="329"/>
      <c r="P16" s="331"/>
      <c r="W16" s="112"/>
      <c r="X16" s="112"/>
      <c r="Y16" s="280"/>
    </row>
    <row r="17" spans="1:28" s="328" customFormat="1">
      <c r="B17" s="329"/>
      <c r="C17" s="331"/>
      <c r="D17" s="1694" t="s">
        <v>0</v>
      </c>
      <c r="E17" s="1695"/>
      <c r="F17" s="1695"/>
      <c r="G17" s="1695"/>
      <c r="H17" s="1695"/>
      <c r="I17" s="1695"/>
      <c r="J17" s="1695"/>
      <c r="K17" s="67"/>
      <c r="L17" s="67"/>
      <c r="M17" s="341"/>
      <c r="N17" s="69"/>
      <c r="O17" s="329"/>
      <c r="P17" s="331"/>
      <c r="W17" s="112"/>
      <c r="X17" s="112"/>
      <c r="Y17" s="280"/>
    </row>
    <row r="18" spans="1:28" s="328" customFormat="1" ht="29.25" customHeight="1">
      <c r="B18" s="329"/>
      <c r="C18" s="331"/>
      <c r="D18" s="1763" t="s">
        <v>1356</v>
      </c>
      <c r="E18" s="1764"/>
      <c r="F18" s="1764"/>
      <c r="G18" s="1764"/>
      <c r="H18" s="1764"/>
      <c r="I18" s="1764"/>
      <c r="J18" s="1764"/>
      <c r="K18" s="166"/>
      <c r="L18" s="339" t="str">
        <f>IFERROR(IF($K$15="","",IF($K$14="Recursos Hídricos Superficiais",VLOOKUP($K$15,'Apoio_Regulação Qualidade Água'!A18:F146,6,0),VLOOKUP($K$15,'Apoio_Regulação Qualidade Água'!$H$17:$N$112,7,0))),"")</f>
        <v/>
      </c>
      <c r="M18" s="1212" t="s">
        <v>1507</v>
      </c>
      <c r="N18" s="343"/>
      <c r="O18" s="329"/>
      <c r="P18" s="331"/>
      <c r="W18" s="112"/>
      <c r="X18" s="112"/>
      <c r="Y18" s="280"/>
    </row>
    <row r="19" spans="1:28" s="328" customFormat="1" ht="15.6">
      <c r="B19" s="329"/>
      <c r="C19" s="331"/>
      <c r="D19" s="1755" t="s">
        <v>1357</v>
      </c>
      <c r="E19" s="1756"/>
      <c r="F19" s="1756"/>
      <c r="G19" s="1756"/>
      <c r="H19" s="1756"/>
      <c r="I19" s="1756"/>
      <c r="J19" s="1756"/>
      <c r="K19" s="141"/>
      <c r="L19" s="339" t="s">
        <v>497</v>
      </c>
      <c r="M19" s="338"/>
      <c r="N19" s="69"/>
      <c r="O19" s="329"/>
      <c r="P19" s="331"/>
      <c r="W19" s="112"/>
      <c r="X19" s="112"/>
      <c r="Y19" s="280"/>
    </row>
    <row r="20" spans="1:28" s="328" customFormat="1" ht="16.8">
      <c r="B20" s="329"/>
      <c r="C20" s="331"/>
      <c r="D20" s="1755" t="s">
        <v>1358</v>
      </c>
      <c r="E20" s="1756"/>
      <c r="F20" s="1756"/>
      <c r="G20" s="1756"/>
      <c r="H20" s="1756"/>
      <c r="I20" s="1756"/>
      <c r="J20" s="1756"/>
      <c r="K20" s="344"/>
      <c r="L20" s="339" t="s">
        <v>1324</v>
      </c>
      <c r="M20" s="338"/>
      <c r="N20" s="69"/>
      <c r="O20" s="329"/>
      <c r="P20" s="331"/>
      <c r="W20" s="345"/>
      <c r="X20" s="112"/>
      <c r="Y20" s="280"/>
    </row>
    <row r="21" spans="1:28" s="328" customFormat="1" ht="15.6">
      <c r="B21" s="329"/>
      <c r="C21" s="331"/>
      <c r="D21" s="1765" t="s">
        <v>1359</v>
      </c>
      <c r="E21" s="1766"/>
      <c r="F21" s="1766"/>
      <c r="G21" s="1766"/>
      <c r="H21" s="1766"/>
      <c r="I21" s="1766"/>
      <c r="J21" s="1766"/>
      <c r="K21" s="141"/>
      <c r="L21" s="339" t="s">
        <v>13</v>
      </c>
      <c r="M21" s="338"/>
      <c r="N21" s="69"/>
      <c r="O21" s="331"/>
      <c r="P21" s="331"/>
      <c r="W21" s="112"/>
      <c r="X21" s="112"/>
      <c r="Y21" s="280"/>
    </row>
    <row r="22" spans="1:28" s="328" customFormat="1">
      <c r="B22" s="329"/>
      <c r="C22" s="331"/>
      <c r="D22" s="1694" t="s">
        <v>1</v>
      </c>
      <c r="E22" s="1695"/>
      <c r="F22" s="1695"/>
      <c r="G22" s="1695"/>
      <c r="H22" s="1695"/>
      <c r="I22" s="1695"/>
      <c r="J22" s="1695"/>
      <c r="K22" s="67"/>
      <c r="L22" s="67"/>
      <c r="M22" s="341"/>
      <c r="N22" s="69"/>
      <c r="O22" s="331"/>
      <c r="P22" s="331"/>
      <c r="W22" s="112"/>
      <c r="X22" s="112"/>
      <c r="Y22" s="280"/>
    </row>
    <row r="23" spans="1:28" s="328" customFormat="1" ht="15.6">
      <c r="B23" s="329"/>
      <c r="C23" s="331"/>
      <c r="D23" s="1755" t="s">
        <v>1360</v>
      </c>
      <c r="E23" s="1756"/>
      <c r="F23" s="1756"/>
      <c r="G23" s="1756"/>
      <c r="H23" s="1756"/>
      <c r="I23" s="1756"/>
      <c r="J23" s="1756"/>
      <c r="K23" s="141"/>
      <c r="L23" s="339" t="str">
        <f>IFERROR(IF($K$15="","",IF($K$14="Recursos Hídricos Superficiais",VLOOKUP($K$15,'Apoio_Regulação Qualidade Água'!A19:F147,6,0),VLOOKUP($K$15,'Apoio_Regulação Qualidade Água'!$H$17:$N$112,7,0))),"")</f>
        <v/>
      </c>
      <c r="M23" s="338"/>
      <c r="N23" s="69"/>
      <c r="O23" s="329"/>
      <c r="P23" s="331"/>
      <c r="W23" s="112"/>
      <c r="X23" s="112"/>
      <c r="Y23" s="280"/>
    </row>
    <row r="24" spans="1:28" s="328" customFormat="1" ht="16.8">
      <c r="B24" s="329"/>
      <c r="C24" s="331"/>
      <c r="D24" s="1755" t="s">
        <v>1361</v>
      </c>
      <c r="E24" s="1756"/>
      <c r="F24" s="1756"/>
      <c r="G24" s="1756"/>
      <c r="H24" s="1756"/>
      <c r="I24" s="1756"/>
      <c r="J24" s="1756"/>
      <c r="K24" s="346"/>
      <c r="L24" s="339" t="s">
        <v>1324</v>
      </c>
      <c r="M24" s="338"/>
      <c r="N24" s="69"/>
      <c r="O24" s="329"/>
      <c r="P24" s="331"/>
      <c r="W24" s="112"/>
      <c r="X24" s="112"/>
      <c r="Y24" s="280"/>
    </row>
    <row r="25" spans="1:28" s="328" customFormat="1" ht="15.6">
      <c r="B25" s="329"/>
      <c r="C25" s="331"/>
      <c r="D25" s="1765" t="s">
        <v>1359</v>
      </c>
      <c r="E25" s="1766"/>
      <c r="F25" s="1766"/>
      <c r="G25" s="1766"/>
      <c r="H25" s="1766"/>
      <c r="I25" s="1766"/>
      <c r="J25" s="1766"/>
      <c r="K25" s="141"/>
      <c r="L25" s="339" t="s">
        <v>13</v>
      </c>
      <c r="M25" s="338"/>
      <c r="N25" s="69"/>
      <c r="O25" s="331"/>
      <c r="P25" s="331"/>
      <c r="W25" s="112"/>
      <c r="X25" s="112"/>
      <c r="Y25" s="280"/>
    </row>
    <row r="26" spans="1:28" s="328" customFormat="1">
      <c r="B26" s="329"/>
      <c r="C26" s="331"/>
      <c r="D26" s="1694" t="s">
        <v>2</v>
      </c>
      <c r="E26" s="1695"/>
      <c r="F26" s="1695"/>
      <c r="G26" s="1695"/>
      <c r="H26" s="1695"/>
      <c r="I26" s="1695"/>
      <c r="J26" s="1695"/>
      <c r="K26" s="67"/>
      <c r="L26" s="67"/>
      <c r="M26" s="347"/>
      <c r="N26" s="69"/>
      <c r="O26" s="329"/>
      <c r="P26" s="331"/>
      <c r="W26" s="345"/>
      <c r="X26" s="112"/>
      <c r="Y26" s="280"/>
    </row>
    <row r="27" spans="1:28" s="328" customFormat="1" ht="15.6">
      <c r="B27" s="329"/>
      <c r="C27" s="331"/>
      <c r="D27" s="1755" t="s">
        <v>1362</v>
      </c>
      <c r="E27" s="1756"/>
      <c r="F27" s="1756"/>
      <c r="G27" s="1756"/>
      <c r="H27" s="1756"/>
      <c r="I27" s="1756"/>
      <c r="J27" s="1756"/>
      <c r="K27" s="141"/>
      <c r="L27" s="339" t="str">
        <f>IFERROR(IF($K$15="","",IF($K$14="Recursos Hídricos Superficiais",VLOOKUP($K$15,'Apoio_Regulação Qualidade Água'!A23:F151,6,0),VLOOKUP($K$15,'Apoio_Regulação Qualidade Água'!$H$17:$N$112,7,0))),"")</f>
        <v/>
      </c>
      <c r="M27" s="338"/>
      <c r="N27" s="69"/>
      <c r="O27" s="329"/>
      <c r="P27" s="331"/>
      <c r="W27" s="345"/>
      <c r="X27" s="112"/>
      <c r="Y27" s="280"/>
    </row>
    <row r="28" spans="1:28" s="328" customFormat="1" ht="15.6">
      <c r="B28" s="329"/>
      <c r="C28" s="331"/>
      <c r="D28" s="1755" t="s">
        <v>1363</v>
      </c>
      <c r="E28" s="1756"/>
      <c r="F28" s="1756"/>
      <c r="G28" s="1756"/>
      <c r="H28" s="1756"/>
      <c r="I28" s="1756"/>
      <c r="J28" s="1756"/>
      <c r="K28" s="166"/>
      <c r="L28" s="339" t="str">
        <f>IFERROR(IF($K$15="","",IF($K$14="Recursos Hídricos Superficiais",VLOOKUP($K$15,'Apoio_Regulação Qualidade Água'!A24:F152,6,0),VLOOKUP($K$15,'Apoio_Regulação Qualidade Água'!$H$17:$N$112,7,0))),"")</f>
        <v/>
      </c>
      <c r="M28" s="338"/>
      <c r="N28" s="69"/>
      <c r="O28" s="329"/>
      <c r="P28" s="331"/>
      <c r="W28" s="345"/>
      <c r="X28" s="112"/>
      <c r="Y28" s="280"/>
    </row>
    <row r="29" spans="1:28" s="328" customFormat="1" ht="31.5" customHeight="1" thickBot="1">
      <c r="B29" s="329"/>
      <c r="C29" s="331"/>
      <c r="D29" s="1771" t="s">
        <v>1364</v>
      </c>
      <c r="E29" s="1772"/>
      <c r="F29" s="1772"/>
      <c r="G29" s="1772"/>
      <c r="H29" s="1772"/>
      <c r="I29" s="1772"/>
      <c r="J29" s="1772"/>
      <c r="K29" s="348"/>
      <c r="L29" s="91" t="s">
        <v>13</v>
      </c>
      <c r="M29" s="349"/>
      <c r="N29" s="69"/>
      <c r="O29" s="329"/>
      <c r="P29" s="331"/>
      <c r="W29" s="112"/>
      <c r="X29" s="350"/>
      <c r="Y29" s="280"/>
    </row>
    <row r="30" spans="1:28" s="328" customFormat="1">
      <c r="A30" s="331"/>
      <c r="B30" s="329"/>
      <c r="C30" s="331"/>
      <c r="D30" s="331"/>
      <c r="E30" s="331"/>
      <c r="F30" s="331"/>
      <c r="G30" s="331"/>
      <c r="H30" s="331"/>
      <c r="I30" s="331"/>
      <c r="J30" s="331"/>
      <c r="K30" s="331"/>
      <c r="L30" s="331"/>
      <c r="M30" s="331"/>
      <c r="N30" s="69"/>
      <c r="O30" s="329"/>
      <c r="P30" s="331"/>
      <c r="W30" s="112"/>
      <c r="X30" s="280"/>
      <c r="Y30" s="351"/>
      <c r="Z30" s="331"/>
      <c r="AA30" s="352"/>
      <c r="AB30" s="331"/>
    </row>
    <row r="31" spans="1:28" s="328" customFormat="1" ht="15.6">
      <c r="B31" s="1741" t="s">
        <v>490</v>
      </c>
      <c r="C31" s="1742"/>
      <c r="D31" s="1742"/>
      <c r="E31" s="1742"/>
      <c r="F31" s="1742"/>
      <c r="G31" s="1742"/>
      <c r="H31" s="1742"/>
      <c r="I31" s="1742"/>
      <c r="J31" s="1742"/>
      <c r="K31" s="1742"/>
      <c r="L31" s="1742"/>
      <c r="M31" s="1742"/>
      <c r="N31" s="1743"/>
      <c r="O31" s="51"/>
      <c r="P31" s="51"/>
      <c r="W31" s="112"/>
      <c r="X31" s="280"/>
      <c r="Y31" s="351"/>
      <c r="Z31" s="331"/>
      <c r="AA31" s="352"/>
      <c r="AB31" s="331"/>
    </row>
    <row r="32" spans="1:28" s="328" customFormat="1" ht="16.2" thickBot="1">
      <c r="B32" s="298"/>
      <c r="C32" s="353"/>
      <c r="D32" s="353"/>
      <c r="E32" s="353"/>
      <c r="F32" s="299"/>
      <c r="G32" s="299"/>
      <c r="H32" s="299"/>
      <c r="I32" s="299"/>
      <c r="J32" s="299"/>
      <c r="K32" s="299"/>
      <c r="L32" s="299"/>
      <c r="M32" s="299"/>
      <c r="N32" s="300"/>
      <c r="O32" s="51"/>
      <c r="P32" s="51"/>
      <c r="W32" s="112"/>
      <c r="X32" s="280"/>
      <c r="Y32" s="351"/>
      <c r="Z32" s="331"/>
      <c r="AA32" s="352"/>
      <c r="AB32" s="331"/>
    </row>
    <row r="33" spans="2:28" s="328" customFormat="1" ht="15" thickBot="1">
      <c r="B33" s="354"/>
      <c r="C33" s="1770" t="s">
        <v>0</v>
      </c>
      <c r="D33" s="1770"/>
      <c r="E33" s="1770"/>
      <c r="F33" s="331"/>
      <c r="G33" s="355" t="s">
        <v>1</v>
      </c>
      <c r="H33" s="355"/>
      <c r="I33" s="355"/>
      <c r="J33" s="331"/>
      <c r="K33" s="1773" t="s">
        <v>3</v>
      </c>
      <c r="L33" s="1773"/>
      <c r="M33" s="356"/>
      <c r="N33" s="357"/>
      <c r="O33" s="51"/>
      <c r="P33" s="51"/>
      <c r="W33" s="112"/>
      <c r="X33" s="280"/>
      <c r="Y33" s="351"/>
      <c r="Z33" s="331"/>
      <c r="AA33" s="352"/>
      <c r="AB33" s="331"/>
    </row>
    <row r="34" spans="2:28" s="331" customFormat="1" ht="15.6">
      <c r="B34" s="354"/>
      <c r="C34" s="1095" t="s">
        <v>25</v>
      </c>
      <c r="D34" s="1253" t="str">
        <f>IF(K18="","",K18-K16)</f>
        <v/>
      </c>
      <c r="E34" s="1153" t="str">
        <f>IF(D34="","",L16)</f>
        <v/>
      </c>
      <c r="F34" s="51"/>
      <c r="G34" s="1241" t="s">
        <v>27</v>
      </c>
      <c r="H34" s="1256" t="str">
        <f>IF(K23="","",IF(K14='Apoio_Regulação Qualidade Água'!A151,IF(VLOOKUP(K15,'Apoio_Regulação Qualidade Água'!A18:G145,7,FALSE)="M",IF(K23-K16&gt;0,K23-K16,"N/A"),IF(K23&gt;K16,"N/A",(K23-K16)*-1)),IF(K23&gt;K16,K23-K16,"N/A")))</f>
        <v/>
      </c>
      <c r="I34" s="1252" t="str">
        <f>IF(H34="N/A","",L16)</f>
        <v/>
      </c>
      <c r="J34" s="51"/>
      <c r="K34" s="358" t="s">
        <v>26</v>
      </c>
      <c r="L34" s="359" t="str">
        <f>IF(K27="","",IF('Regulação Qualidade da Água'!K14='Apoio_Regulação Qualidade Água'!A151,IF((VLOOKUP(K15,'Apoio_Regulação Qualidade Água'!A18:G145,7,FALSE))="M",(K27-K28),((K27-K28)*-1)),IF(K28&gt;K27,(K27-K28),(K27-K28))))</f>
        <v/>
      </c>
      <c r="M34" s="302" t="str">
        <f>L27</f>
        <v/>
      </c>
      <c r="N34" s="357"/>
      <c r="O34" s="51"/>
      <c r="P34" s="51"/>
      <c r="X34" s="78"/>
      <c r="Y34" s="360"/>
      <c r="AA34" s="352"/>
    </row>
    <row r="35" spans="2:28" s="328" customFormat="1" ht="16.2" thickBot="1">
      <c r="B35" s="354"/>
      <c r="C35" s="1097" t="s">
        <v>493</v>
      </c>
      <c r="D35" s="1254" t="str">
        <f>IF(D34="","",K19*K20+K21)</f>
        <v/>
      </c>
      <c r="E35" s="1250" t="str">
        <f>L21</f>
        <v>R$</v>
      </c>
      <c r="F35" s="51"/>
      <c r="G35" s="1257" t="s">
        <v>493</v>
      </c>
      <c r="H35" s="1245" t="str">
        <f>IF(H34="","",IF(H34="N/A","",K19*K24+K25))</f>
        <v/>
      </c>
      <c r="I35" s="1258" t="s">
        <v>13</v>
      </c>
      <c r="J35" s="51"/>
      <c r="K35" s="361" t="s">
        <v>493</v>
      </c>
      <c r="L35" s="362" t="str">
        <f>IF(L34="","",IF(L34&lt;0,K29*-1,K29))</f>
        <v/>
      </c>
      <c r="M35" s="99" t="s">
        <v>13</v>
      </c>
      <c r="N35" s="357"/>
      <c r="O35" s="51"/>
      <c r="P35" s="51"/>
      <c r="W35" s="331"/>
      <c r="X35" s="78"/>
      <c r="Y35" s="360"/>
      <c r="Z35" s="331"/>
      <c r="AA35" s="352"/>
      <c r="AB35" s="331"/>
    </row>
    <row r="36" spans="2:28" s="328" customFormat="1" ht="15" thickBot="1">
      <c r="B36" s="354"/>
      <c r="C36" s="363"/>
      <c r="D36" s="51"/>
      <c r="E36" s="51"/>
      <c r="F36" s="51"/>
      <c r="G36" s="364"/>
      <c r="H36" s="51"/>
      <c r="I36" s="363"/>
      <c r="J36" s="51"/>
      <c r="K36" s="51"/>
      <c r="L36" s="1181"/>
      <c r="M36" s="364"/>
      <c r="N36" s="366"/>
      <c r="O36" s="367"/>
      <c r="P36" s="367"/>
      <c r="W36" s="331"/>
      <c r="X36" s="78"/>
      <c r="Y36" s="360"/>
      <c r="Z36" s="331"/>
      <c r="AA36" s="352"/>
      <c r="AB36" s="331"/>
    </row>
    <row r="37" spans="2:28" s="328" customFormat="1">
      <c r="B37" s="354"/>
      <c r="C37" s="51"/>
      <c r="D37" s="51"/>
      <c r="E37" s="51"/>
      <c r="F37" s="51"/>
      <c r="G37" s="51"/>
      <c r="H37" s="51"/>
      <c r="I37" s="51"/>
      <c r="J37" s="51"/>
      <c r="K37" s="51"/>
      <c r="L37" s="1181"/>
      <c r="M37" s="51"/>
      <c r="N37" s="357"/>
      <c r="O37" s="51"/>
      <c r="P37" s="51"/>
      <c r="W37" s="331"/>
      <c r="X37" s="78"/>
      <c r="Y37" s="360"/>
      <c r="Z37" s="331"/>
      <c r="AA37" s="352"/>
      <c r="AB37" s="331"/>
    </row>
    <row r="38" spans="2:28" s="328" customFormat="1">
      <c r="B38" s="354"/>
      <c r="C38" s="51"/>
      <c r="D38" s="51"/>
      <c r="E38" s="51"/>
      <c r="F38" s="51"/>
      <c r="G38" s="51"/>
      <c r="H38" s="51"/>
      <c r="I38" s="51"/>
      <c r="J38" s="51"/>
      <c r="K38" s="51"/>
      <c r="L38" s="1181"/>
      <c r="M38" s="51"/>
      <c r="N38" s="357"/>
      <c r="O38" s="51"/>
      <c r="P38" s="51"/>
      <c r="W38" s="331"/>
      <c r="X38" s="78"/>
      <c r="Y38" s="360"/>
      <c r="Z38" s="331"/>
      <c r="AA38" s="352"/>
      <c r="AB38" s="331"/>
    </row>
    <row r="39" spans="2:28" s="328" customFormat="1" ht="15.6">
      <c r="B39" s="1663" t="s">
        <v>1298</v>
      </c>
      <c r="C39" s="1664"/>
      <c r="D39" s="1664"/>
      <c r="E39" s="1664"/>
      <c r="F39" s="1664"/>
      <c r="G39" s="1664"/>
      <c r="H39" s="1664"/>
      <c r="I39" s="1664"/>
      <c r="J39" s="1664"/>
      <c r="K39" s="1664"/>
      <c r="L39" s="1664"/>
      <c r="M39" s="1664"/>
      <c r="N39" s="1665"/>
      <c r="O39" s="51"/>
      <c r="P39" s="51"/>
      <c r="W39" s="331"/>
      <c r="X39" s="78"/>
      <c r="Y39" s="360"/>
      <c r="Z39" s="331"/>
      <c r="AA39" s="352"/>
      <c r="AB39" s="331"/>
    </row>
    <row r="40" spans="2:28" s="328" customFormat="1">
      <c r="B40" s="354"/>
      <c r="C40" s="51"/>
      <c r="D40" s="51"/>
      <c r="E40" s="51"/>
      <c r="F40" s="51"/>
      <c r="G40" s="51"/>
      <c r="H40" s="51"/>
      <c r="I40" s="51"/>
      <c r="J40" s="51"/>
      <c r="K40" s="51"/>
      <c r="L40" s="1181"/>
      <c r="M40" s="51"/>
      <c r="N40" s="357"/>
      <c r="O40" s="51"/>
      <c r="P40" s="51"/>
      <c r="W40" s="331"/>
      <c r="X40" s="78"/>
      <c r="Y40" s="360"/>
      <c r="Z40" s="331"/>
      <c r="AA40" s="352"/>
      <c r="AB40" s="331"/>
    </row>
    <row r="41" spans="2:28" s="328" customFormat="1" ht="15" thickBot="1">
      <c r="B41" s="329"/>
      <c r="C41" s="331"/>
      <c r="D41" s="331"/>
      <c r="E41" s="7" t="s">
        <v>1684</v>
      </c>
      <c r="F41" s="1184"/>
      <c r="G41" s="1184"/>
      <c r="H41" s="1184"/>
      <c r="I41" s="331"/>
      <c r="J41" s="331"/>
      <c r="K41" s="331"/>
      <c r="L41" s="331"/>
      <c r="M41" s="331"/>
      <c r="N41" s="69"/>
      <c r="O41" s="331"/>
      <c r="P41" s="331"/>
      <c r="W41" s="331"/>
      <c r="X41" s="78"/>
      <c r="Y41" s="360"/>
      <c r="Z41" s="331"/>
      <c r="AA41" s="352"/>
      <c r="AB41" s="331"/>
    </row>
    <row r="42" spans="2:28" s="328" customFormat="1" ht="15.6">
      <c r="B42" s="329"/>
      <c r="C42" s="331"/>
      <c r="D42" s="331"/>
      <c r="E42" s="1655" t="s">
        <v>1125</v>
      </c>
      <c r="F42" s="1753"/>
      <c r="G42" s="1749" t="s">
        <v>0</v>
      </c>
      <c r="H42" s="1749"/>
      <c r="I42" s="1750" t="s">
        <v>1</v>
      </c>
      <c r="J42" s="1750"/>
      <c r="K42" s="1751" t="s">
        <v>2</v>
      </c>
      <c r="L42" s="1752"/>
      <c r="M42" s="331"/>
      <c r="N42" s="69"/>
      <c r="W42" s="331"/>
      <c r="X42" s="78"/>
      <c r="Y42" s="360"/>
      <c r="Z42" s="331"/>
      <c r="AA42" s="352"/>
      <c r="AB42" s="331"/>
    </row>
    <row r="43" spans="2:28" s="328" customFormat="1" ht="15.6">
      <c r="B43" s="329"/>
      <c r="C43" s="331"/>
      <c r="D43" s="331"/>
      <c r="E43" s="1657"/>
      <c r="F43" s="1754"/>
      <c r="G43" s="1255" t="s">
        <v>25</v>
      </c>
      <c r="H43" s="1255" t="s">
        <v>1157</v>
      </c>
      <c r="I43" s="1259" t="s">
        <v>27</v>
      </c>
      <c r="J43" s="1259" t="s">
        <v>1157</v>
      </c>
      <c r="K43" s="368" t="s">
        <v>26</v>
      </c>
      <c r="L43" s="369" t="s">
        <v>1157</v>
      </c>
      <c r="M43" s="331"/>
      <c r="N43" s="69"/>
      <c r="W43" s="331"/>
      <c r="X43" s="78"/>
      <c r="Y43" s="360"/>
      <c r="Z43" s="331"/>
      <c r="AA43" s="352"/>
      <c r="AB43" s="331"/>
    </row>
    <row r="44" spans="2:28" s="328" customFormat="1" ht="15" customHeight="1">
      <c r="B44" s="329"/>
      <c r="C44" s="331"/>
      <c r="D44" s="331"/>
      <c r="E44" s="1757"/>
      <c r="F44" s="1758"/>
      <c r="G44" s="314"/>
      <c r="H44" s="314"/>
      <c r="I44" s="314"/>
      <c r="J44" s="314"/>
      <c r="K44" s="314"/>
      <c r="L44" s="370"/>
      <c r="M44" s="331"/>
      <c r="N44" s="69"/>
      <c r="W44" s="331"/>
      <c r="X44" s="78"/>
      <c r="Y44" s="360"/>
      <c r="Z44" s="331"/>
      <c r="AA44" s="352"/>
      <c r="AB44" s="331"/>
    </row>
    <row r="45" spans="2:28" s="328" customFormat="1" ht="15" customHeight="1">
      <c r="B45" s="329"/>
      <c r="C45" s="331"/>
      <c r="D45" s="331"/>
      <c r="E45" s="1757"/>
      <c r="F45" s="1758"/>
      <c r="G45" s="314"/>
      <c r="H45" s="314"/>
      <c r="I45" s="314"/>
      <c r="J45" s="314"/>
      <c r="K45" s="314"/>
      <c r="L45" s="370"/>
      <c r="M45" s="331"/>
      <c r="N45" s="69"/>
      <c r="W45" s="331"/>
      <c r="X45" s="78"/>
      <c r="Y45" s="360"/>
      <c r="Z45" s="331"/>
      <c r="AA45" s="352"/>
      <c r="AB45" s="331"/>
    </row>
    <row r="46" spans="2:28" ht="15" customHeight="1">
      <c r="B46" s="6"/>
      <c r="C46" s="7"/>
      <c r="D46" s="7"/>
      <c r="E46" s="1747"/>
      <c r="F46" s="1748"/>
      <c r="G46" s="314"/>
      <c r="H46" s="314"/>
      <c r="I46" s="314"/>
      <c r="J46" s="314"/>
      <c r="K46" s="314"/>
      <c r="L46" s="370"/>
      <c r="M46" s="7"/>
      <c r="N46" s="8"/>
    </row>
    <row r="47" spans="2:28" ht="15" customHeight="1">
      <c r="B47" s="6"/>
      <c r="C47" s="7"/>
      <c r="D47" s="7"/>
      <c r="E47" s="1747"/>
      <c r="F47" s="1748"/>
      <c r="G47" s="314"/>
      <c r="H47" s="314"/>
      <c r="I47" s="314"/>
      <c r="J47" s="314"/>
      <c r="K47" s="314"/>
      <c r="L47" s="370"/>
      <c r="M47" s="7"/>
      <c r="N47" s="8"/>
    </row>
    <row r="48" spans="2:28" ht="15" customHeight="1">
      <c r="B48" s="6"/>
      <c r="C48" s="7"/>
      <c r="D48" s="7"/>
      <c r="E48" s="1747"/>
      <c r="F48" s="1748"/>
      <c r="G48" s="314"/>
      <c r="H48" s="314"/>
      <c r="I48" s="314"/>
      <c r="J48" s="314"/>
      <c r="K48" s="314"/>
      <c r="L48" s="370"/>
      <c r="M48" s="7"/>
      <c r="N48" s="8"/>
    </row>
    <row r="49" spans="2:25" ht="15" customHeight="1">
      <c r="B49" s="6"/>
      <c r="C49" s="7"/>
      <c r="D49" s="7"/>
      <c r="E49" s="1747"/>
      <c r="F49" s="1748"/>
      <c r="G49" s="314"/>
      <c r="H49" s="314"/>
      <c r="I49" s="314"/>
      <c r="J49" s="314"/>
      <c r="K49" s="314"/>
      <c r="L49" s="370"/>
      <c r="M49" s="7"/>
      <c r="N49" s="8"/>
    </row>
    <row r="50" spans="2:25" ht="15" customHeight="1">
      <c r="B50" s="6"/>
      <c r="C50" s="7"/>
      <c r="D50" s="7"/>
      <c r="E50" s="1747"/>
      <c r="F50" s="1748"/>
      <c r="G50" s="314"/>
      <c r="H50" s="314"/>
      <c r="I50" s="314"/>
      <c r="J50" s="314"/>
      <c r="K50" s="314"/>
      <c r="L50" s="370"/>
      <c r="M50" s="7"/>
      <c r="N50" s="8"/>
    </row>
    <row r="51" spans="2:25" ht="15" customHeight="1">
      <c r="B51" s="6"/>
      <c r="C51" s="7"/>
      <c r="D51" s="7"/>
      <c r="E51" s="1747"/>
      <c r="F51" s="1748"/>
      <c r="G51" s="314"/>
      <c r="H51" s="314"/>
      <c r="I51" s="314"/>
      <c r="J51" s="314"/>
      <c r="K51" s="314"/>
      <c r="L51" s="370"/>
      <c r="M51" s="7"/>
      <c r="N51" s="8"/>
    </row>
    <row r="52" spans="2:25" ht="15" customHeight="1">
      <c r="B52" s="6"/>
      <c r="C52" s="7"/>
      <c r="D52" s="7"/>
      <c r="E52" s="1747"/>
      <c r="F52" s="1748"/>
      <c r="G52" s="314"/>
      <c r="H52" s="314"/>
      <c r="I52" s="314"/>
      <c r="J52" s="314"/>
      <c r="K52" s="314"/>
      <c r="L52" s="370"/>
      <c r="M52" s="7"/>
      <c r="N52" s="8"/>
    </row>
    <row r="53" spans="2:25" ht="15.75" customHeight="1" thickBot="1">
      <c r="B53" s="6"/>
      <c r="C53" s="7"/>
      <c r="D53" s="7"/>
      <c r="E53" s="1768"/>
      <c r="F53" s="1769"/>
      <c r="G53" s="371"/>
      <c r="H53" s="371"/>
      <c r="I53" s="371"/>
      <c r="J53" s="371"/>
      <c r="K53" s="371"/>
      <c r="L53" s="372"/>
      <c r="M53" s="7"/>
      <c r="N53" s="8"/>
    </row>
    <row r="54" spans="2:25">
      <c r="B54" s="6"/>
      <c r="C54" s="7"/>
      <c r="D54" s="7"/>
      <c r="E54" s="7"/>
      <c r="F54" s="7"/>
      <c r="G54" s="7"/>
      <c r="H54" s="7"/>
      <c r="I54" s="7"/>
      <c r="J54" s="7"/>
      <c r="K54" s="7"/>
      <c r="L54" s="7"/>
      <c r="M54" s="7"/>
      <c r="N54" s="8"/>
    </row>
    <row r="55" spans="2:25" ht="15" thickBot="1">
      <c r="B55" s="127"/>
      <c r="C55" s="35"/>
      <c r="D55" s="35"/>
      <c r="E55" s="35"/>
      <c r="F55" s="35"/>
      <c r="G55" s="35"/>
      <c r="H55" s="35"/>
      <c r="I55" s="35"/>
      <c r="J55" s="35"/>
      <c r="K55" s="35"/>
      <c r="L55" s="35"/>
      <c r="M55" s="35"/>
      <c r="N55" s="36"/>
    </row>
    <row r="56" spans="2:25" ht="15" thickTop="1"/>
    <row r="57" spans="2:25" hidden="1"/>
    <row r="58" spans="2:25" hidden="1"/>
    <row r="59" spans="2:25" hidden="1"/>
    <row r="60" spans="2:25" hidden="1"/>
    <row r="61" spans="2:25" hidden="1"/>
    <row r="62" spans="2:25" s="14" customFormat="1" hidden="1"/>
    <row r="63" spans="2:25" s="14" customFormat="1" hidden="1">
      <c r="Y63" s="217"/>
    </row>
    <row r="64" spans="2:25" s="14" customFormat="1" hidden="1">
      <c r="Y64" s="217"/>
    </row>
    <row r="65" spans="25:25" s="14" customFormat="1" hidden="1">
      <c r="Y65" s="217"/>
    </row>
    <row r="66" spans="25:25" s="14" customFormat="1" hidden="1">
      <c r="Y66" s="217"/>
    </row>
    <row r="67" spans="25:25" s="14" customFormat="1" hidden="1">
      <c r="Y67" s="217"/>
    </row>
    <row r="68" spans="25:25" s="14" customFormat="1" hidden="1">
      <c r="Y68" s="217"/>
    </row>
    <row r="69" spans="25:25" s="14" customFormat="1" hidden="1">
      <c r="Y69" s="217"/>
    </row>
    <row r="70" spans="25:25" s="14" customFormat="1" hidden="1">
      <c r="Y70" s="217"/>
    </row>
    <row r="71" spans="25:25" s="14" customFormat="1" hidden="1">
      <c r="Y71" s="217"/>
    </row>
    <row r="72" spans="25:25" s="14" customFormat="1" hidden="1">
      <c r="Y72" s="217"/>
    </row>
    <row r="73" spans="25:25" s="14" customFormat="1" hidden="1">
      <c r="Y73" s="217"/>
    </row>
    <row r="74" spans="25:25" s="14" customFormat="1" hidden="1">
      <c r="Y74" s="217"/>
    </row>
    <row r="75" spans="25:25" s="14" customFormat="1" hidden="1">
      <c r="Y75" s="217"/>
    </row>
    <row r="76" spans="25:25" s="14" customFormat="1" hidden="1">
      <c r="Y76" s="217"/>
    </row>
    <row r="77" spans="25:25" s="14" customFormat="1" hidden="1">
      <c r="Y77" s="217"/>
    </row>
    <row r="78" spans="25:25" s="14" customFormat="1" hidden="1">
      <c r="Y78" s="217"/>
    </row>
    <row r="79" spans="25:25" s="14" customFormat="1" hidden="1">
      <c r="Y79" s="217"/>
    </row>
    <row r="80" spans="25:25" s="14" customFormat="1" hidden="1">
      <c r="Y80" s="217"/>
    </row>
    <row r="81" spans="4:48" s="14" customFormat="1" hidden="1">
      <c r="Y81" s="217"/>
    </row>
    <row r="82" spans="4:48" s="14" customFormat="1" hidden="1">
      <c r="Y82" s="217"/>
    </row>
    <row r="83" spans="4:48" s="14" customFormat="1" hidden="1">
      <c r="Y83" s="217"/>
    </row>
    <row r="84" spans="4:48" s="14" customFormat="1" hidden="1">
      <c r="Y84" s="217"/>
    </row>
    <row r="85" spans="4:48" s="14" customFormat="1" hidden="1">
      <c r="Y85" s="217"/>
    </row>
    <row r="86" spans="4:48" s="14" customFormat="1" hidden="1">
      <c r="Y86" s="217"/>
    </row>
    <row r="87" spans="4:48" hidden="1"/>
    <row r="88" spans="4:48" hidden="1"/>
    <row r="89" spans="4:48" hidden="1"/>
    <row r="90" spans="4:48" s="14" customFormat="1" hidden="1">
      <c r="D90" s="5"/>
      <c r="E90" s="5"/>
      <c r="F90" s="5"/>
      <c r="G90" s="5"/>
      <c r="H90" s="5"/>
      <c r="I90" s="5"/>
      <c r="J90" s="5"/>
      <c r="K90" s="5"/>
      <c r="L90" s="5"/>
      <c r="M90" s="5"/>
      <c r="N90" s="5"/>
      <c r="O90" s="5"/>
      <c r="P90" s="5"/>
      <c r="Y90" s="217"/>
      <c r="AG90" s="5"/>
      <c r="AH90" s="5"/>
      <c r="AI90" s="5"/>
      <c r="AJ90" s="5"/>
      <c r="AK90" s="5"/>
      <c r="AL90" s="5"/>
      <c r="AM90" s="5"/>
      <c r="AN90" s="5"/>
      <c r="AO90" s="5"/>
      <c r="AP90" s="5"/>
      <c r="AQ90" s="5"/>
      <c r="AR90" s="5"/>
      <c r="AS90" s="5"/>
      <c r="AT90" s="5"/>
      <c r="AU90" s="5"/>
      <c r="AV90" s="5"/>
    </row>
    <row r="91" spans="4:48" s="14" customFormat="1" hidden="1">
      <c r="D91" s="5"/>
      <c r="E91" s="5"/>
      <c r="F91" s="5"/>
      <c r="G91" s="5"/>
      <c r="H91" s="5"/>
      <c r="I91" s="5"/>
      <c r="J91" s="5"/>
      <c r="K91" s="5"/>
      <c r="L91" s="5"/>
      <c r="M91" s="5"/>
      <c r="N91" s="5"/>
      <c r="O91" s="5"/>
      <c r="P91" s="5"/>
      <c r="Y91" s="217"/>
      <c r="AG91" s="5"/>
      <c r="AH91" s="5"/>
      <c r="AI91" s="5"/>
      <c r="AJ91" s="5"/>
      <c r="AK91" s="5"/>
      <c r="AL91" s="5"/>
      <c r="AM91" s="5"/>
      <c r="AN91" s="5"/>
      <c r="AO91" s="5"/>
      <c r="AP91" s="5"/>
      <c r="AQ91" s="5"/>
      <c r="AR91" s="5"/>
      <c r="AS91" s="5"/>
      <c r="AT91" s="5"/>
      <c r="AU91" s="5"/>
      <c r="AV91" s="5"/>
    </row>
    <row r="92" spans="4:48" s="14" customFormat="1" hidden="1">
      <c r="D92" s="5"/>
      <c r="E92" s="5"/>
      <c r="F92" s="5"/>
      <c r="G92" s="5"/>
      <c r="H92" s="5"/>
      <c r="I92" s="5"/>
      <c r="J92" s="5"/>
      <c r="K92" s="5"/>
      <c r="L92" s="5"/>
      <c r="M92" s="5"/>
      <c r="N92" s="5"/>
      <c r="O92" s="5"/>
      <c r="P92" s="5"/>
      <c r="Y92" s="217"/>
      <c r="AG92" s="5"/>
      <c r="AH92" s="5"/>
      <c r="AI92" s="5"/>
      <c r="AJ92" s="5"/>
      <c r="AK92" s="5"/>
      <c r="AL92" s="5"/>
      <c r="AM92" s="5"/>
      <c r="AN92" s="5"/>
      <c r="AO92" s="5"/>
      <c r="AP92" s="5"/>
      <c r="AQ92" s="5"/>
      <c r="AR92" s="5"/>
      <c r="AS92" s="5"/>
      <c r="AT92" s="5"/>
      <c r="AU92" s="5"/>
      <c r="AV92" s="5"/>
    </row>
    <row r="93" spans="4:48" s="14" customFormat="1" hidden="1">
      <c r="D93" s="5"/>
      <c r="E93" s="5"/>
      <c r="F93" s="5"/>
      <c r="G93" s="5"/>
      <c r="H93" s="5"/>
      <c r="I93" s="5"/>
      <c r="J93" s="5"/>
      <c r="K93" s="5"/>
      <c r="L93" s="5"/>
      <c r="M93" s="5"/>
      <c r="N93" s="5"/>
      <c r="O93" s="5"/>
      <c r="P93" s="5"/>
      <c r="Y93" s="217"/>
      <c r="AG93" s="5"/>
      <c r="AH93" s="5"/>
      <c r="AI93" s="5"/>
      <c r="AJ93" s="5"/>
      <c r="AK93" s="5"/>
      <c r="AL93" s="5"/>
      <c r="AM93" s="5"/>
      <c r="AN93" s="5"/>
      <c r="AO93" s="5"/>
      <c r="AP93" s="5"/>
      <c r="AQ93" s="5"/>
      <c r="AR93" s="5"/>
      <c r="AS93" s="5"/>
      <c r="AT93" s="5"/>
      <c r="AU93" s="5"/>
      <c r="AV93" s="5"/>
    </row>
    <row r="94" spans="4:48" s="14" customFormat="1" hidden="1">
      <c r="D94" s="5"/>
      <c r="E94" s="5"/>
      <c r="F94" s="5"/>
      <c r="G94" s="5"/>
      <c r="H94" s="5"/>
      <c r="I94" s="5"/>
      <c r="J94" s="5"/>
      <c r="K94" s="5"/>
      <c r="L94" s="5"/>
      <c r="M94" s="5"/>
      <c r="N94" s="5"/>
      <c r="O94" s="5"/>
      <c r="P94" s="5"/>
      <c r="Y94" s="217"/>
      <c r="AG94" s="5"/>
      <c r="AH94" s="5"/>
      <c r="AI94" s="5"/>
      <c r="AJ94" s="5"/>
      <c r="AK94" s="5"/>
      <c r="AL94" s="5"/>
      <c r="AM94" s="5"/>
      <c r="AN94" s="5"/>
      <c r="AO94" s="5"/>
      <c r="AP94" s="5"/>
      <c r="AQ94" s="5"/>
      <c r="AR94" s="5"/>
      <c r="AS94" s="5"/>
      <c r="AT94" s="5"/>
      <c r="AU94" s="5"/>
      <c r="AV94" s="5"/>
    </row>
    <row r="95" spans="4:48" s="14" customFormat="1" hidden="1">
      <c r="D95" s="5"/>
      <c r="E95" s="5"/>
      <c r="F95" s="5"/>
      <c r="G95" s="5"/>
      <c r="H95" s="5"/>
      <c r="I95" s="5"/>
      <c r="J95" s="5"/>
      <c r="K95" s="5"/>
      <c r="L95" s="5"/>
      <c r="M95" s="5"/>
      <c r="N95" s="5"/>
      <c r="O95" s="5"/>
      <c r="P95" s="5"/>
      <c r="Y95" s="217"/>
      <c r="AG95" s="5"/>
      <c r="AH95" s="5"/>
      <c r="AI95" s="5"/>
      <c r="AJ95" s="5"/>
      <c r="AK95" s="5"/>
      <c r="AL95" s="5"/>
      <c r="AM95" s="5"/>
      <c r="AN95" s="5"/>
      <c r="AO95" s="5"/>
      <c r="AP95" s="5"/>
      <c r="AQ95" s="5"/>
      <c r="AR95" s="5"/>
      <c r="AS95" s="5"/>
      <c r="AT95" s="5"/>
      <c r="AU95" s="5"/>
      <c r="AV95" s="5"/>
    </row>
    <row r="96" spans="4:48" s="14" customFormat="1" hidden="1">
      <c r="D96" s="5"/>
      <c r="E96" s="5"/>
      <c r="F96" s="5"/>
      <c r="G96" s="5"/>
      <c r="H96" s="5"/>
      <c r="I96" s="5"/>
      <c r="J96" s="5"/>
      <c r="K96" s="5"/>
      <c r="L96" s="5"/>
      <c r="M96" s="5"/>
      <c r="N96" s="5"/>
      <c r="O96" s="5"/>
      <c r="P96" s="5"/>
      <c r="Y96" s="217"/>
      <c r="AG96" s="5"/>
      <c r="AH96" s="5"/>
      <c r="AI96" s="5"/>
      <c r="AJ96" s="5"/>
      <c r="AK96" s="5"/>
      <c r="AL96" s="5"/>
      <c r="AM96" s="5"/>
      <c r="AN96" s="5"/>
      <c r="AO96" s="5"/>
      <c r="AP96" s="5"/>
      <c r="AQ96" s="5"/>
      <c r="AR96" s="5"/>
      <c r="AS96" s="5"/>
      <c r="AT96" s="5"/>
      <c r="AU96" s="5"/>
      <c r="AV96" s="5"/>
    </row>
    <row r="97" spans="2:48" s="14" customFormat="1" hidden="1">
      <c r="D97" s="5"/>
      <c r="E97" s="5"/>
      <c r="F97" s="5"/>
      <c r="G97" s="5"/>
      <c r="H97" s="5"/>
      <c r="I97" s="5"/>
      <c r="J97" s="5"/>
      <c r="K97" s="5"/>
      <c r="L97" s="5"/>
      <c r="M97" s="5"/>
      <c r="N97" s="5"/>
      <c r="O97" s="5"/>
      <c r="P97" s="5"/>
      <c r="Y97" s="217"/>
      <c r="AG97" s="5"/>
      <c r="AH97" s="5"/>
      <c r="AI97" s="5"/>
      <c r="AJ97" s="5"/>
      <c r="AK97" s="5"/>
      <c r="AL97" s="5"/>
      <c r="AM97" s="5"/>
      <c r="AN97" s="5"/>
      <c r="AO97" s="5"/>
      <c r="AP97" s="5"/>
      <c r="AQ97" s="5"/>
      <c r="AR97" s="5"/>
      <c r="AS97" s="5"/>
      <c r="AT97" s="5"/>
      <c r="AU97" s="5"/>
      <c r="AV97" s="5"/>
    </row>
    <row r="98" spans="2:48" s="14" customFormat="1" hidden="1">
      <c r="D98" s="5"/>
      <c r="E98" s="5"/>
      <c r="F98" s="5"/>
      <c r="G98" s="5"/>
      <c r="H98" s="5"/>
      <c r="I98" s="5"/>
      <c r="J98" s="5"/>
      <c r="K98" s="5"/>
      <c r="L98" s="5"/>
      <c r="M98" s="5"/>
      <c r="N98" s="5"/>
      <c r="O98" s="5"/>
      <c r="P98" s="5"/>
      <c r="Y98" s="217"/>
      <c r="AG98" s="5"/>
      <c r="AH98" s="5"/>
      <c r="AI98" s="5"/>
      <c r="AJ98" s="5"/>
      <c r="AK98" s="5"/>
      <c r="AL98" s="5"/>
      <c r="AM98" s="5"/>
      <c r="AN98" s="5"/>
      <c r="AO98" s="5"/>
      <c r="AP98" s="5"/>
      <c r="AQ98" s="5"/>
      <c r="AR98" s="5"/>
      <c r="AS98" s="5"/>
      <c r="AT98" s="5"/>
      <c r="AU98" s="5"/>
      <c r="AV98" s="5"/>
    </row>
    <row r="99" spans="2:48" s="14" customFormat="1" hidden="1">
      <c r="D99" s="5"/>
      <c r="E99" s="5"/>
      <c r="F99" s="5"/>
      <c r="G99" s="5"/>
      <c r="H99" s="5"/>
      <c r="I99" s="5"/>
      <c r="J99" s="5"/>
      <c r="K99" s="5"/>
      <c r="L99" s="5"/>
      <c r="M99" s="5"/>
      <c r="N99" s="5"/>
      <c r="O99" s="5"/>
      <c r="P99" s="5"/>
      <c r="Y99" s="217"/>
      <c r="AG99" s="5"/>
      <c r="AH99" s="5"/>
      <c r="AI99" s="5"/>
      <c r="AJ99" s="5"/>
      <c r="AK99" s="5"/>
      <c r="AL99" s="5"/>
      <c r="AM99" s="5"/>
      <c r="AN99" s="5"/>
      <c r="AO99" s="5"/>
      <c r="AP99" s="5"/>
      <c r="AQ99" s="5"/>
      <c r="AR99" s="5"/>
      <c r="AS99" s="5"/>
      <c r="AT99" s="5"/>
      <c r="AU99" s="5"/>
      <c r="AV99" s="5"/>
    </row>
    <row r="100" spans="2:48" s="14" customFormat="1" hidden="1">
      <c r="D100" s="5"/>
      <c r="E100" s="5"/>
      <c r="F100" s="5"/>
      <c r="G100" s="5"/>
      <c r="H100" s="5"/>
      <c r="I100" s="5"/>
      <c r="J100" s="5"/>
      <c r="K100" s="5"/>
      <c r="L100" s="5"/>
      <c r="M100" s="5"/>
      <c r="N100" s="5"/>
      <c r="O100" s="5"/>
      <c r="P100" s="5"/>
      <c r="Y100" s="217"/>
      <c r="AG100" s="5"/>
      <c r="AH100" s="5"/>
      <c r="AI100" s="5"/>
      <c r="AJ100" s="5"/>
      <c r="AK100" s="5"/>
      <c r="AL100" s="5"/>
      <c r="AM100" s="5"/>
      <c r="AN100" s="5"/>
      <c r="AO100" s="5"/>
      <c r="AP100" s="5"/>
      <c r="AQ100" s="5"/>
      <c r="AR100" s="5"/>
      <c r="AS100" s="5"/>
      <c r="AT100" s="5"/>
      <c r="AU100" s="5"/>
      <c r="AV100" s="5"/>
    </row>
    <row r="101" spans="2:48" s="14" customFormat="1" hidden="1">
      <c r="D101" s="5"/>
      <c r="E101" s="5"/>
      <c r="F101" s="5"/>
      <c r="G101" s="5"/>
      <c r="H101" s="5"/>
      <c r="I101" s="5"/>
      <c r="J101" s="5"/>
      <c r="K101" s="5"/>
      <c r="L101" s="5"/>
      <c r="M101" s="5"/>
      <c r="N101" s="5"/>
      <c r="O101" s="5"/>
      <c r="P101" s="5"/>
      <c r="Y101" s="217"/>
      <c r="AG101" s="5"/>
      <c r="AH101" s="5"/>
      <c r="AI101" s="5"/>
      <c r="AJ101" s="5"/>
      <c r="AK101" s="5"/>
      <c r="AL101" s="5"/>
      <c r="AM101" s="5"/>
      <c r="AN101" s="5"/>
      <c r="AO101" s="5"/>
      <c r="AP101" s="5"/>
      <c r="AQ101" s="5"/>
      <c r="AR101" s="5"/>
      <c r="AS101" s="5"/>
      <c r="AT101" s="5"/>
      <c r="AU101" s="5"/>
      <c r="AV101" s="5"/>
    </row>
    <row r="102" spans="2:48" hidden="1">
      <c r="B102" s="14"/>
      <c r="C102" s="14"/>
    </row>
    <row r="103" spans="2:48" hidden="1">
      <c r="B103" s="14"/>
      <c r="C103" s="14"/>
    </row>
    <row r="104" spans="2:48" hidden="1"/>
    <row r="105" spans="2:48" hidden="1"/>
    <row r="106" spans="2:48" hidden="1"/>
    <row r="107" spans="2:48" hidden="1"/>
    <row r="108" spans="2:48" hidden="1"/>
    <row r="109" spans="2:48"/>
    <row r="110" spans="2:48"/>
    <row r="111" spans="2:48"/>
    <row r="112" spans="2:48"/>
    <row r="113"/>
    <row r="114"/>
    <row r="115"/>
    <row r="116"/>
  </sheetData>
  <mergeCells count="37">
    <mergeCell ref="E52:F52"/>
    <mergeCell ref="E53:F53"/>
    <mergeCell ref="B31:N31"/>
    <mergeCell ref="C33:E33"/>
    <mergeCell ref="D24:J24"/>
    <mergeCell ref="D29:J29"/>
    <mergeCell ref="D27:J27"/>
    <mergeCell ref="D28:J28"/>
    <mergeCell ref="K33:L33"/>
    <mergeCell ref="D25:J25"/>
    <mergeCell ref="D26:J26"/>
    <mergeCell ref="E45:F45"/>
    <mergeCell ref="E46:F46"/>
    <mergeCell ref="E47:F47"/>
    <mergeCell ref="E48:F48"/>
    <mergeCell ref="E50:F50"/>
    <mergeCell ref="B7:N7"/>
    <mergeCell ref="B11:N11"/>
    <mergeCell ref="D20:J20"/>
    <mergeCell ref="E44:F44"/>
    <mergeCell ref="D14:J14"/>
    <mergeCell ref="D15:J15"/>
    <mergeCell ref="D16:J16"/>
    <mergeCell ref="D18:J18"/>
    <mergeCell ref="D23:J23"/>
    <mergeCell ref="D19:J19"/>
    <mergeCell ref="D17:J17"/>
    <mergeCell ref="D21:J21"/>
    <mergeCell ref="D22:J22"/>
    <mergeCell ref="B39:N39"/>
    <mergeCell ref="E9:M9"/>
    <mergeCell ref="E51:F51"/>
    <mergeCell ref="G42:H42"/>
    <mergeCell ref="I42:J42"/>
    <mergeCell ref="K42:L42"/>
    <mergeCell ref="E42:F43"/>
    <mergeCell ref="E49:F49"/>
  </mergeCells>
  <dataValidations count="3">
    <dataValidation allowBlank="1" showErrorMessage="1" prompt="Inserir unidade" sqref="L20:L21 L14:L15 L24:L25" xr:uid="{00000000-0002-0000-0800-000000000000}"/>
    <dataValidation type="list" allowBlank="1" showInputMessage="1" showErrorMessage="1" sqref="K14" xr:uid="{00000000-0002-0000-0800-000001000000}">
      <formula1>RH</formula1>
    </dataValidation>
    <dataValidation type="list" allowBlank="1" showInputMessage="1" showErrorMessage="1" sqref="K15" xr:uid="{00000000-0002-0000-0800-000002000000}">
      <formula1>IF($K$14="","",IF($K$14="Recursos Hídricos Superficiais",Superfície,IF($K$14="Água Subterrâneas",Subterrânea)))</formula1>
    </dataValidation>
  </dataValidations>
  <hyperlinks>
    <hyperlink ref="M18" location="'Apoio_Regulação Qualidade Água'!H17" display="Clique aqui para ver os parâmetros do Conama" xr:uid="{00000000-0004-0000-0800-000000000000}"/>
  </hyperlinks>
  <pageMargins left="0.511811024" right="0.511811024" top="0.78740157499999996" bottom="0.78740157499999996" header="0.31496062000000002" footer="0.31496062000000002"/>
  <pageSetup paperSize="9" orientation="portrait"/>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22</vt:i4>
      </vt:variant>
      <vt:variant>
        <vt:lpstr>Intervalos Nomeados</vt:lpstr>
      </vt:variant>
      <vt:variant>
        <vt:i4>24</vt:i4>
      </vt:variant>
    </vt:vector>
  </HeadingPairs>
  <TitlesOfParts>
    <vt:vector size="46" baseType="lpstr">
      <vt:lpstr>Disclaimer</vt:lpstr>
      <vt:lpstr>Atualizações</vt:lpstr>
      <vt:lpstr>Orientações de Preenchimento</vt:lpstr>
      <vt:lpstr>Plano de Trabalho</vt:lpstr>
      <vt:lpstr>SE de Provisão</vt:lpstr>
      <vt:lpstr>Provisão de Água</vt:lpstr>
      <vt:lpstr>Provisão Biomassa Combustível</vt:lpstr>
      <vt:lpstr>Apoio_Provisão Biomassa Comb.</vt:lpstr>
      <vt:lpstr>Regulação Qualidade da Água</vt:lpstr>
      <vt:lpstr>Apoio_Regulação Qualidade Água</vt:lpstr>
      <vt:lpstr>Assimilação Efluentes Líquido</vt:lpstr>
      <vt:lpstr>Apoio_Efluentes</vt:lpstr>
      <vt:lpstr>Regulação do clima global</vt:lpstr>
      <vt:lpstr>Apoio_Regulação do clima global</vt:lpstr>
      <vt:lpstr>Apoio</vt:lpstr>
      <vt:lpstr>Regulação de polinização</vt:lpstr>
      <vt:lpstr>Apoio Regulação de Polinização</vt:lpstr>
      <vt:lpstr>Regulação da Erosão do Solo</vt:lpstr>
      <vt:lpstr>Apoio_Regulação da Erosão</vt:lpstr>
      <vt:lpstr>Recreação e Turismo</vt:lpstr>
      <vt:lpstr>Resumo</vt:lpstr>
      <vt:lpstr>Plan1</vt:lpstr>
      <vt:lpstr>Amazônia</vt:lpstr>
      <vt:lpstr>Areaadensamento</vt:lpstr>
      <vt:lpstr>Áreaenriquecimento</vt:lpstr>
      <vt:lpstr>Areaisolamento</vt:lpstr>
      <vt:lpstr>Areaplantiototal</vt:lpstr>
      <vt:lpstr>biomas</vt:lpstr>
      <vt:lpstr>Caatinga</vt:lpstr>
      <vt:lpstr>Cerrado</vt:lpstr>
      <vt:lpstr>Efluente</vt:lpstr>
      <vt:lpstr>empresa</vt:lpstr>
      <vt:lpstr>FatorEqPC</vt:lpstr>
      <vt:lpstr>fcaa</vt:lpstr>
      <vt:lpstr>MAtlântica</vt:lpstr>
      <vt:lpstr>Pampa</vt:lpstr>
      <vt:lpstr>Pantanal</vt:lpstr>
      <vt:lpstr>RH</vt:lpstr>
      <vt:lpstr>'Regulação Qualidade da Água'!sel</vt:lpstr>
      <vt:lpstr>setor</vt:lpstr>
      <vt:lpstr>simnao</vt:lpstr>
      <vt:lpstr>simnaonovo</vt:lpstr>
      <vt:lpstr>Subterrânea</vt:lpstr>
      <vt:lpstr>Superfície</vt:lpstr>
      <vt:lpstr>Unidade</vt:lpstr>
      <vt:lpstr>usodaterra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Aletea Cristina Avila Madacki</dc:creator>
  <cp:lastModifiedBy>Reviewer</cp:lastModifiedBy>
  <cp:lastPrinted>2014-03-27T20:49:36Z</cp:lastPrinted>
  <dcterms:created xsi:type="dcterms:W3CDTF">2014-03-10T17:45:24Z</dcterms:created>
  <dcterms:modified xsi:type="dcterms:W3CDTF">2019-12-23T18:32:40Z</dcterms:modified>
</cp:coreProperties>
</file>